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Belege" sheetId="1" r:id="rId1"/>
    <sheet name="Kontenrahmen" sheetId="2" r:id="rId2"/>
  </sheets>
  <definedNames>
    <definedName name="_xlnm.Print_Area" localSheetId="0">Belege!$A$1:$N$59</definedName>
    <definedName name="fuer">Belege!$P$5:$P$12</definedName>
    <definedName name="GS">Belege!$P$18:$P$23</definedName>
    <definedName name="neben">Belege!$Q$15:$Q$16</definedName>
    <definedName name="RG">Belege!$P$1:$P$2</definedName>
    <definedName name="varianten">Belege!$S$1:$S$4</definedName>
    <definedName name="zahl">Belege!$P$25:$P$26</definedName>
  </definedNames>
  <calcPr calcId="125725"/>
</workbook>
</file>

<file path=xl/calcChain.xml><?xml version="1.0" encoding="utf-8"?>
<calcChain xmlns="http://schemas.openxmlformats.org/spreadsheetml/2006/main">
  <c r="D25" i="1"/>
  <c r="F2"/>
  <c r="A57"/>
  <c r="S87"/>
  <c r="R137"/>
  <c r="E31"/>
  <c r="C31"/>
  <c r="R134"/>
  <c r="R131"/>
  <c r="R128"/>
  <c r="R125"/>
  <c r="Q26"/>
  <c r="Q125" s="1"/>
  <c r="Q25"/>
  <c r="Q128" s="1"/>
  <c r="A53"/>
  <c r="B50"/>
  <c r="A39"/>
  <c r="R113"/>
  <c r="P113"/>
  <c r="R110"/>
  <c r="P110"/>
  <c r="R107"/>
  <c r="P107"/>
  <c r="R104"/>
  <c r="P104"/>
  <c r="R101"/>
  <c r="P101"/>
  <c r="R98"/>
  <c r="P98"/>
  <c r="R95"/>
  <c r="P95"/>
  <c r="R92"/>
  <c r="P92"/>
  <c r="R89"/>
  <c r="P89"/>
  <c r="R86"/>
  <c r="P86"/>
  <c r="R83"/>
  <c r="P83"/>
  <c r="D30"/>
  <c r="Q19"/>
  <c r="Q101" s="1"/>
  <c r="Q20"/>
  <c r="Q104" s="1"/>
  <c r="Q21"/>
  <c r="Q107" s="1"/>
  <c r="Q22"/>
  <c r="Q110" s="1"/>
  <c r="Q23"/>
  <c r="Q113" s="1"/>
  <c r="Q18"/>
  <c r="Q98" s="1"/>
  <c r="A29"/>
  <c r="R71"/>
  <c r="R68"/>
  <c r="R65"/>
  <c r="R62"/>
  <c r="R59"/>
  <c r="R55"/>
  <c r="R51"/>
  <c r="R48"/>
  <c r="R45"/>
  <c r="R42"/>
  <c r="R39"/>
  <c r="R36"/>
  <c r="C56"/>
  <c r="B56"/>
  <c r="C42"/>
  <c r="B42"/>
  <c r="C24"/>
  <c r="B24"/>
  <c r="P71"/>
  <c r="P68"/>
  <c r="P65"/>
  <c r="P62"/>
  <c r="P59"/>
  <c r="P55"/>
  <c r="P51"/>
  <c r="B19"/>
  <c r="B37" s="1"/>
  <c r="P48"/>
  <c r="S45"/>
  <c r="P45"/>
  <c r="P42"/>
  <c r="T43"/>
  <c r="T46" s="1"/>
  <c r="T42"/>
  <c r="T45" s="1"/>
  <c r="S42"/>
  <c r="P36"/>
  <c r="P39"/>
  <c r="C43"/>
  <c r="G8"/>
  <c r="G26" s="1"/>
  <c r="D3"/>
  <c r="S6"/>
  <c r="Q51" s="1"/>
  <c r="T7"/>
  <c r="S7"/>
  <c r="Q55" s="1"/>
  <c r="T2"/>
  <c r="Q39" s="1"/>
  <c r="T3"/>
  <c r="Q42" s="1"/>
  <c r="T4"/>
  <c r="Q45" s="1"/>
  <c r="T1"/>
  <c r="Q36" s="1"/>
  <c r="C2"/>
  <c r="T11"/>
  <c r="T9"/>
  <c r="A7" s="1"/>
  <c r="A25" s="1"/>
  <c r="A8"/>
  <c r="A26" s="1"/>
  <c r="S9"/>
  <c r="Q62" s="1"/>
  <c r="S10"/>
  <c r="S11"/>
  <c r="Q68" s="1"/>
  <c r="S12"/>
  <c r="Q71" s="1"/>
  <c r="S5"/>
  <c r="S8"/>
  <c r="Q59" s="1"/>
  <c r="E1"/>
  <c r="A4" l="1"/>
  <c r="F4" s="1"/>
  <c r="A58"/>
  <c r="A5"/>
  <c r="Q92"/>
  <c r="Q89"/>
  <c r="Q86"/>
  <c r="G40" s="1"/>
  <c r="Q83"/>
  <c r="Q95"/>
  <c r="A13"/>
  <c r="A31" s="1"/>
  <c r="E11"/>
  <c r="F5"/>
  <c r="D11"/>
  <c r="Q65"/>
  <c r="Q48"/>
  <c r="G13"/>
  <c r="G14" s="1"/>
  <c r="C12"/>
  <c r="F13"/>
  <c r="C11"/>
  <c r="S30"/>
  <c r="T75"/>
  <c r="T29"/>
  <c r="V30"/>
  <c r="T76"/>
  <c r="S28"/>
  <c r="S76"/>
  <c r="T28"/>
  <c r="S29"/>
  <c r="T30"/>
  <c r="S75"/>
  <c r="F40" l="1"/>
  <c r="P134"/>
  <c r="Q134" s="1"/>
  <c r="P131"/>
  <c r="Q131" s="1"/>
  <c r="C29"/>
  <c r="F29" s="1"/>
  <c r="D12"/>
  <c r="A12"/>
  <c r="F22"/>
  <c r="E12"/>
  <c r="G12" s="1"/>
  <c r="G11"/>
  <c r="F14" s="1"/>
  <c r="Q137" l="1"/>
  <c r="D29"/>
  <c r="E29"/>
  <c r="G29" s="1"/>
  <c r="A32" s="1"/>
  <c r="A14"/>
  <c r="D14" s="1"/>
  <c r="D32" s="1"/>
  <c r="U53"/>
  <c r="T117"/>
  <c r="T119"/>
  <c r="S118"/>
  <c r="T118"/>
  <c r="S117"/>
  <c r="S119"/>
  <c r="F54" l="1"/>
  <c r="B14"/>
  <c r="U56" l="1"/>
  <c r="B32"/>
  <c r="C32" s="1"/>
  <c r="E32" s="1"/>
  <c r="C14"/>
  <c r="E14" s="1"/>
  <c r="U57"/>
  <c r="U30"/>
  <c r="U52" l="1"/>
  <c r="A35"/>
  <c r="U87"/>
  <c r="A17"/>
  <c r="U72" l="1"/>
  <c r="V102"/>
  <c r="V105" s="1"/>
  <c r="V108" s="1"/>
  <c r="V111" s="1"/>
  <c r="V113"/>
  <c r="B35"/>
  <c r="U90"/>
  <c r="B17"/>
  <c r="V37"/>
  <c r="U60"/>
  <c r="U63" s="1"/>
  <c r="U65"/>
  <c r="U68" s="1"/>
  <c r="U49"/>
  <c r="V114" l="1"/>
  <c r="U71"/>
  <c r="U93"/>
  <c r="U89"/>
  <c r="U92" s="1"/>
  <c r="U95" s="1"/>
  <c r="V101"/>
  <c r="V104" s="1"/>
  <c r="V107" s="1"/>
  <c r="V110" s="1"/>
  <c r="C35"/>
  <c r="U86"/>
  <c r="V40"/>
  <c r="V36"/>
  <c r="V39" s="1"/>
  <c r="V42" s="1"/>
  <c r="V45" s="1"/>
  <c r="U48"/>
  <c r="U59"/>
  <c r="U62" s="1"/>
  <c r="C17"/>
  <c r="U66"/>
  <c r="U51"/>
  <c r="V76"/>
  <c r="D49" l="1"/>
  <c r="U125" s="1"/>
  <c r="C49"/>
  <c r="U131"/>
  <c r="U137"/>
  <c r="U113"/>
  <c r="U134"/>
  <c r="V125"/>
  <c r="U128" s="1"/>
  <c r="V128" s="1"/>
  <c r="V71"/>
  <c r="U96"/>
  <c r="U69"/>
  <c r="U101"/>
  <c r="U104"/>
  <c r="U107" s="1"/>
  <c r="V86"/>
  <c r="V89"/>
  <c r="V43"/>
  <c r="V55"/>
  <c r="V51"/>
  <c r="V48"/>
  <c r="V59"/>
  <c r="V62" s="1"/>
  <c r="U55"/>
  <c r="U36"/>
  <c r="U39" s="1"/>
  <c r="U42" s="1"/>
  <c r="U45" s="1"/>
  <c r="V65"/>
  <c r="V68" s="1"/>
  <c r="U117"/>
  <c r="U76"/>
  <c r="U29"/>
  <c r="U28"/>
  <c r="V28"/>
  <c r="V137" l="1"/>
  <c r="V131"/>
  <c r="V133" s="1"/>
  <c r="V135"/>
  <c r="V136" s="1"/>
  <c r="U126"/>
  <c r="U127"/>
  <c r="U110"/>
  <c r="V92"/>
  <c r="V46"/>
  <c r="V119"/>
  <c r="U119"/>
  <c r="U75"/>
  <c r="V29"/>
  <c r="Q32" l="1"/>
  <c r="V132"/>
  <c r="V134"/>
  <c r="V95"/>
  <c r="F23"/>
  <c r="V117"/>
  <c r="V118"/>
  <c r="U118"/>
  <c r="V75"/>
  <c r="Q31" l="1"/>
  <c r="D57" s="1"/>
  <c r="F55"/>
  <c r="Q33"/>
  <c r="D58" s="1"/>
  <c r="F41"/>
</calcChain>
</file>

<file path=xl/sharedStrings.xml><?xml version="1.0" encoding="utf-8"?>
<sst xmlns="http://schemas.openxmlformats.org/spreadsheetml/2006/main" count="205" uniqueCount="139">
  <si>
    <t>Nr.:</t>
  </si>
  <si>
    <t>Pos.</t>
  </si>
  <si>
    <t>Artikelnr</t>
  </si>
  <si>
    <t>Menge</t>
  </si>
  <si>
    <t>Bezeich</t>
  </si>
  <si>
    <t>EP</t>
  </si>
  <si>
    <t>Rabatt</t>
  </si>
  <si>
    <t>Poswert</t>
  </si>
  <si>
    <t>Autragswertrabatt</t>
  </si>
  <si>
    <t>Kdrabatt</t>
  </si>
  <si>
    <t>Fracht</t>
  </si>
  <si>
    <t>Versicherung</t>
  </si>
  <si>
    <t>Rgwert I</t>
  </si>
  <si>
    <t>Rechnungsendwert</t>
  </si>
  <si>
    <t>Zahlungsziel:</t>
  </si>
  <si>
    <t>Kontoauszug vom.... für</t>
  </si>
  <si>
    <t>Sparkasse Dortmund</t>
  </si>
  <si>
    <t>Konto</t>
  </si>
  <si>
    <t>Auszug</t>
  </si>
  <si>
    <t>Soll</t>
  </si>
  <si>
    <t>Haben</t>
  </si>
  <si>
    <t>€€€€</t>
  </si>
  <si>
    <t>Buchungsnr.</t>
  </si>
  <si>
    <t>Betreff</t>
  </si>
  <si>
    <t>Belastung</t>
  </si>
  <si>
    <t>Gutschrift</t>
  </si>
  <si>
    <t>Neuer Kontostand:</t>
  </si>
  <si>
    <t>Belegnr</t>
  </si>
  <si>
    <t>Sollkto</t>
  </si>
  <si>
    <t>Habenkto</t>
  </si>
  <si>
    <t>Soll €</t>
  </si>
  <si>
    <t>Haben €</t>
  </si>
  <si>
    <t>RG</t>
  </si>
  <si>
    <t>GS</t>
  </si>
  <si>
    <t>Zahlung</t>
  </si>
  <si>
    <t>AR</t>
  </si>
  <si>
    <t>ER</t>
  </si>
  <si>
    <t>Nebenkosten</t>
  </si>
  <si>
    <t>für</t>
  </si>
  <si>
    <t>Anlagegut(hier bsphaft LKW)</t>
  </si>
  <si>
    <t>Transport eines Anlagegutes</t>
  </si>
  <si>
    <t>Aufwand(hier bsphaft Radiergummi)</t>
  </si>
  <si>
    <t>Warentransport vom  Lief.</t>
  </si>
  <si>
    <t>Warentransport an Kden</t>
  </si>
  <si>
    <t>keine</t>
  </si>
  <si>
    <t>Warenrücksendung</t>
  </si>
  <si>
    <t>Warenpreisnachlass</t>
  </si>
  <si>
    <t>Anlagegutpreisnachlass</t>
  </si>
  <si>
    <t>Warenbonus</t>
  </si>
  <si>
    <t>netto</t>
  </si>
  <si>
    <t>skonto</t>
  </si>
  <si>
    <t>Neuhaus GmbH Möbelwerke</t>
  </si>
  <si>
    <t>Schnell KG Transporte aller Art</t>
  </si>
  <si>
    <t>Moloch AG Rund um Brummis</t>
  </si>
  <si>
    <t>Bürobedarf Elke Klick e.K.</t>
  </si>
  <si>
    <t>Varianten AR</t>
  </si>
  <si>
    <t>nur Ware</t>
  </si>
  <si>
    <t>Ware und Fracht</t>
  </si>
  <si>
    <t>Ware und Paletten</t>
  </si>
  <si>
    <t>nur Fracht</t>
  </si>
  <si>
    <t>RECHNUNG</t>
  </si>
  <si>
    <t>Datum:</t>
  </si>
  <si>
    <t>Konten u. Beträge ohne Leerzeile!</t>
  </si>
  <si>
    <t>Palettenrückgabe</t>
  </si>
  <si>
    <t>Ziel GS</t>
  </si>
  <si>
    <t>801 - 805</t>
  </si>
  <si>
    <t>Ausgleich OP</t>
  </si>
  <si>
    <t>Ziel Zahlung</t>
  </si>
  <si>
    <t>Wert II</t>
  </si>
  <si>
    <t>Wert III</t>
  </si>
  <si>
    <t>Umsatzsteuer/Vorsteuer:</t>
  </si>
  <si>
    <t>Wareneinsatz:</t>
  </si>
  <si>
    <t>Anschaffungskosten:</t>
  </si>
  <si>
    <t>NR</t>
  </si>
  <si>
    <t>NR/Name:</t>
  </si>
  <si>
    <t>Grundstücke</t>
  </si>
  <si>
    <t>Techn. Anlagen</t>
  </si>
  <si>
    <t>BGA</t>
  </si>
  <si>
    <t>Fuhrpark</t>
  </si>
  <si>
    <t>GWG(0371 GWG SP)</t>
  </si>
  <si>
    <t>EK</t>
  </si>
  <si>
    <t>Verbl. gegenüber Kreditinstituten</t>
  </si>
  <si>
    <t>Ford. aus L.u.L</t>
  </si>
  <si>
    <t>sonstige Forderungen</t>
  </si>
  <si>
    <t>SV-Beitrags-vorauszahlungen</t>
  </si>
  <si>
    <t>Kreditinstitut</t>
  </si>
  <si>
    <t>VSt</t>
  </si>
  <si>
    <t>EUSt</t>
  </si>
  <si>
    <t>VSt. aus ig-Erwerb</t>
  </si>
  <si>
    <t>Kasse</t>
  </si>
  <si>
    <t>Privatentnahme</t>
  </si>
  <si>
    <t>Privateinlage</t>
  </si>
  <si>
    <t>Verbl. a. LuL</t>
  </si>
  <si>
    <t>Ust</t>
  </si>
  <si>
    <t>USt aus ig-Erwerb</t>
  </si>
  <si>
    <t>Verbl. aus Steuern</t>
  </si>
  <si>
    <t>Verbl. im Rahmen der soz. Sicherheit</t>
  </si>
  <si>
    <t>Sonst. Verbl.</t>
  </si>
  <si>
    <t>Verbindl. aus Vermögensbildung</t>
  </si>
  <si>
    <t>Zinsaufwendungen</t>
  </si>
  <si>
    <t>betriebsfr. Erträge</t>
  </si>
  <si>
    <t>Zinserträge</t>
  </si>
  <si>
    <t>Wareneingang (Inland)</t>
  </si>
  <si>
    <t>Warenbezugskosten</t>
  </si>
  <si>
    <t>Rücksendungen a.d.Lieferer</t>
  </si>
  <si>
    <t>Nachlässe des Lieferers</t>
  </si>
  <si>
    <t>Liefererboni</t>
  </si>
  <si>
    <t>Liefererskonti</t>
  </si>
  <si>
    <t>Löhne</t>
  </si>
  <si>
    <t>Gehälter</t>
  </si>
  <si>
    <t>Gesetzl. soz. Aufwand</t>
  </si>
  <si>
    <t>vL</t>
  </si>
  <si>
    <t>Mieten, Pachten, Leasing</t>
  </si>
  <si>
    <t>Kfz-Steuer</t>
  </si>
  <si>
    <t>Versicherungen</t>
  </si>
  <si>
    <t>Energie, Betriebsstoffe</t>
  </si>
  <si>
    <t>Werbe-Reisekosten</t>
  </si>
  <si>
    <t>Provisionen</t>
  </si>
  <si>
    <t>Verpackungsmaterial</t>
  </si>
  <si>
    <t>Ausgangsfrachen</t>
  </si>
  <si>
    <t>Gewährleistungen</t>
  </si>
  <si>
    <t>Instandhaltung</t>
  </si>
  <si>
    <t>Bürobedarf</t>
  </si>
  <si>
    <t>Porto, Telefon, Telefax</t>
  </si>
  <si>
    <t>Kosten des Geldverkehrs</t>
  </si>
  <si>
    <t>Abschreibung auf Sachanlagen</t>
  </si>
  <si>
    <t>Warenverkauf (Inland)</t>
  </si>
  <si>
    <t>Rücksendungen vom Kd.</t>
  </si>
  <si>
    <t>Nachlässe an Kd.</t>
  </si>
  <si>
    <t>Kundenboni</t>
  </si>
  <si>
    <t>Kundenskonti</t>
  </si>
  <si>
    <t>Warenverkauf ig-Lieferung</t>
  </si>
  <si>
    <t>Warenverkauf Drittland</t>
  </si>
  <si>
    <t>Warenentnahme</t>
  </si>
  <si>
    <t>Provisionserträge</t>
  </si>
  <si>
    <t>EBK</t>
  </si>
  <si>
    <t>G+V</t>
  </si>
  <si>
    <t>SBK</t>
  </si>
  <si>
    <t>Warenbestand lt. Inv.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</si>
</sst>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0%\ &quot;Mwst.&quot;"/>
    <numFmt numFmtId="165" formatCode="000"/>
    <numFmt numFmtId="166" formatCode="#,##0.00\ &quot;€ &quot;;;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name val="Times New Roman"/>
      <family val="1"/>
    </font>
    <font>
      <sz val="8"/>
      <color theme="1"/>
      <name val="Arial"/>
      <family val="2"/>
    </font>
    <font>
      <sz val="11"/>
      <color theme="0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/>
      <right style="thick">
        <color indexed="10"/>
      </right>
      <top style="thick">
        <color indexed="10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ck">
        <color indexed="11"/>
      </top>
      <bottom style="thin">
        <color indexed="64"/>
      </bottom>
      <diagonal/>
    </border>
    <border>
      <left/>
      <right style="thick">
        <color indexed="11"/>
      </right>
      <top style="thick">
        <color indexed="11"/>
      </top>
      <bottom style="thin">
        <color indexed="64"/>
      </bottom>
      <diagonal/>
    </border>
    <border>
      <left style="thick">
        <color indexed="11"/>
      </left>
      <right style="thin">
        <color indexed="64"/>
      </right>
      <top style="thick">
        <color indexed="13"/>
      </top>
      <bottom style="thin">
        <color indexed="64"/>
      </bottom>
      <diagonal/>
    </border>
    <border>
      <left/>
      <right style="thick">
        <color indexed="13"/>
      </right>
      <top style="thick">
        <color indexed="13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10"/>
      </right>
      <top/>
      <bottom style="thin">
        <color indexed="64"/>
      </bottom>
      <diagonal/>
    </border>
    <border>
      <left/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11"/>
      </right>
      <top style="thin">
        <color indexed="64"/>
      </top>
      <bottom style="thin">
        <color indexed="64"/>
      </bottom>
      <diagonal/>
    </border>
    <border>
      <left style="thick">
        <color indexed="11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13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2"/>
      </bottom>
      <diagonal/>
    </border>
    <border>
      <left/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/>
      <bottom style="thick">
        <color indexed="11"/>
      </bottom>
      <diagonal/>
    </border>
    <border>
      <left/>
      <right style="thick">
        <color indexed="11"/>
      </right>
      <top style="thin">
        <color indexed="64"/>
      </top>
      <bottom style="thick">
        <color indexed="11"/>
      </bottom>
      <diagonal/>
    </border>
    <border>
      <left style="thick">
        <color indexed="11"/>
      </left>
      <right style="thin">
        <color indexed="64"/>
      </right>
      <top/>
      <bottom style="thick">
        <color indexed="13"/>
      </bottom>
      <diagonal/>
    </border>
    <border>
      <left/>
      <right style="thick">
        <color indexed="13"/>
      </right>
      <top style="thin">
        <color indexed="64"/>
      </top>
      <bottom style="thick">
        <color indexed="13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5" fillId="2" borderId="0" xfId="0" applyFont="1" applyFill="1" applyProtection="1">
      <protection locked="0" hidden="1"/>
    </xf>
    <xf numFmtId="0" fontId="5" fillId="0" borderId="0" xfId="0" applyFont="1" applyProtection="1">
      <protection locked="0" hidden="1"/>
    </xf>
    <xf numFmtId="0" fontId="5" fillId="0" borderId="14" xfId="0" applyFont="1" applyBorder="1" applyProtection="1">
      <protection hidden="1"/>
    </xf>
    <xf numFmtId="0" fontId="5" fillId="0" borderId="15" xfId="0" applyFont="1" applyBorder="1" applyProtection="1">
      <protection locked="0"/>
    </xf>
    <xf numFmtId="0" fontId="6" fillId="0" borderId="0" xfId="0" applyFont="1" applyProtection="1">
      <protection hidden="1"/>
    </xf>
    <xf numFmtId="0" fontId="5" fillId="0" borderId="1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3" xfId="0" applyFont="1" applyBorder="1" applyProtection="1">
      <protection hidden="1"/>
    </xf>
    <xf numFmtId="0" fontId="5" fillId="0" borderId="4" xfId="0" applyFont="1" applyBorder="1" applyProtection="1">
      <protection hidden="1"/>
    </xf>
    <xf numFmtId="0" fontId="5" fillId="0" borderId="0" xfId="0" applyFont="1" applyBorder="1" applyProtection="1">
      <protection hidden="1"/>
    </xf>
    <xf numFmtId="14" fontId="5" fillId="0" borderId="5" xfId="0" applyNumberFormat="1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44" fontId="5" fillId="0" borderId="0" xfId="3" applyFont="1" applyBorder="1" applyProtection="1">
      <protection hidden="1"/>
    </xf>
    <xf numFmtId="9" fontId="5" fillId="0" borderId="0" xfId="2" applyFont="1" applyBorder="1" applyProtection="1">
      <protection hidden="1"/>
    </xf>
    <xf numFmtId="44" fontId="5" fillId="0" borderId="5" xfId="3" applyFont="1" applyBorder="1" applyProtection="1">
      <protection hidden="1"/>
    </xf>
    <xf numFmtId="44" fontId="5" fillId="0" borderId="0" xfId="3" applyFont="1" applyBorder="1" applyAlignment="1" applyProtection="1">
      <alignment horizontal="right"/>
      <protection hidden="1"/>
    </xf>
    <xf numFmtId="166" fontId="5" fillId="0" borderId="5" xfId="3" applyNumberFormat="1" applyFont="1" applyBorder="1" applyProtection="1">
      <protection hidden="1"/>
    </xf>
    <xf numFmtId="44" fontId="5" fillId="0" borderId="4" xfId="0" applyNumberFormat="1" applyFont="1" applyBorder="1" applyProtection="1">
      <protection hidden="1"/>
    </xf>
    <xf numFmtId="9" fontId="5" fillId="0" borderId="0" xfId="3" applyNumberFormat="1" applyFont="1" applyBorder="1" applyProtection="1">
      <protection hidden="1"/>
    </xf>
    <xf numFmtId="44" fontId="5" fillId="0" borderId="0" xfId="0" applyNumberFormat="1" applyFont="1" applyBorder="1" applyProtection="1">
      <protection hidden="1"/>
    </xf>
    <xf numFmtId="44" fontId="5" fillId="0" borderId="0" xfId="1" applyFont="1" applyBorder="1" applyProtection="1">
      <protection hidden="1"/>
    </xf>
    <xf numFmtId="164" fontId="5" fillId="0" borderId="0" xfId="0" applyNumberFormat="1" applyFont="1" applyBorder="1" applyProtection="1">
      <protection hidden="1"/>
    </xf>
    <xf numFmtId="0" fontId="5" fillId="0" borderId="10" xfId="0" applyFont="1" applyBorder="1" applyProtection="1">
      <protection hidden="1"/>
    </xf>
    <xf numFmtId="0" fontId="5" fillId="0" borderId="11" xfId="0" applyFont="1" applyBorder="1" applyProtection="1">
      <protection hidden="1"/>
    </xf>
    <xf numFmtId="0" fontId="5" fillId="0" borderId="12" xfId="0" applyFont="1" applyBorder="1" applyProtection="1">
      <protection hidden="1"/>
    </xf>
    <xf numFmtId="0" fontId="5" fillId="0" borderId="13" xfId="0" applyFont="1" applyBorder="1" applyProtection="1">
      <protection hidden="1"/>
    </xf>
    <xf numFmtId="0" fontId="5" fillId="0" borderId="13" xfId="0" applyFont="1" applyBorder="1" applyAlignment="1" applyProtection="1">
      <alignment horizontal="center"/>
      <protection hidden="1"/>
    </xf>
    <xf numFmtId="0" fontId="5" fillId="0" borderId="13" xfId="0" applyFont="1" applyBorder="1" applyAlignment="1" applyProtection="1">
      <alignment horizontal="right"/>
      <protection hidden="1"/>
    </xf>
    <xf numFmtId="165" fontId="5" fillId="0" borderId="13" xfId="0" applyNumberFormat="1" applyFont="1" applyBorder="1" applyProtection="1">
      <protection locked="0"/>
    </xf>
    <xf numFmtId="4" fontId="5" fillId="0" borderId="13" xfId="0" applyNumberFormat="1" applyFont="1" applyBorder="1" applyProtection="1">
      <protection locked="0"/>
    </xf>
    <xf numFmtId="0" fontId="5" fillId="0" borderId="0" xfId="0" quotePrefix="1" applyFont="1" applyProtection="1">
      <protection hidden="1"/>
    </xf>
    <xf numFmtId="44" fontId="5" fillId="0" borderId="0" xfId="1" applyFo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14" fontId="5" fillId="0" borderId="2" xfId="0" applyNumberFormat="1" applyFont="1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5" xfId="0" applyFont="1" applyBorder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44" fontId="5" fillId="0" borderId="5" xfId="1" applyFont="1" applyBorder="1" applyProtection="1">
      <protection hidden="1"/>
    </xf>
    <xf numFmtId="0" fontId="5" fillId="0" borderId="12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center"/>
      <protection hidden="1"/>
    </xf>
    <xf numFmtId="165" fontId="7" fillId="0" borderId="17" xfId="0" applyNumberFormat="1" applyFont="1" applyBorder="1" applyAlignment="1">
      <alignment horizontal="center" vertical="top" wrapText="1"/>
    </xf>
    <xf numFmtId="165" fontId="7" fillId="3" borderId="18" xfId="0" applyNumberFormat="1" applyFont="1" applyFill="1" applyBorder="1" applyAlignment="1">
      <alignment vertical="top" wrapText="1"/>
    </xf>
    <xf numFmtId="165" fontId="7" fillId="0" borderId="19" xfId="0" applyNumberFormat="1" applyFont="1" applyBorder="1" applyAlignment="1">
      <alignment horizontal="center" vertical="top" wrapText="1"/>
    </xf>
    <xf numFmtId="165" fontId="7" fillId="3" borderId="20" xfId="0" applyNumberFormat="1" applyFont="1" applyFill="1" applyBorder="1" applyAlignment="1">
      <alignment vertical="top" wrapText="1"/>
    </xf>
    <xf numFmtId="165" fontId="7" fillId="0" borderId="21" xfId="0" applyNumberFormat="1" applyFont="1" applyBorder="1" applyAlignment="1">
      <alignment horizontal="center" vertical="top" wrapText="1"/>
    </xf>
    <xf numFmtId="165" fontId="7" fillId="3" borderId="22" xfId="0" applyNumberFormat="1" applyFont="1" applyFill="1" applyBorder="1" applyAlignment="1">
      <alignment vertical="top" wrapText="1"/>
    </xf>
    <xf numFmtId="165" fontId="7" fillId="0" borderId="23" xfId="0" applyNumberFormat="1" applyFont="1" applyBorder="1" applyAlignment="1">
      <alignment horizontal="center" vertical="top" wrapText="1"/>
    </xf>
    <xf numFmtId="165" fontId="7" fillId="3" borderId="24" xfId="0" applyNumberFormat="1" applyFont="1" applyFill="1" applyBorder="1" applyAlignment="1">
      <alignment vertical="top" wrapText="1"/>
    </xf>
    <xf numFmtId="165" fontId="7" fillId="0" borderId="25" xfId="0" applyNumberFormat="1" applyFont="1" applyBorder="1" applyAlignment="1">
      <alignment horizontal="center" vertical="top" wrapText="1"/>
    </xf>
    <xf numFmtId="165" fontId="7" fillId="3" borderId="26" xfId="0" applyNumberFormat="1" applyFont="1" applyFill="1" applyBorder="1" applyAlignment="1">
      <alignment vertical="top" wrapText="1"/>
    </xf>
    <xf numFmtId="165" fontId="7" fillId="3" borderId="27" xfId="0" applyNumberFormat="1" applyFont="1" applyFill="1" applyBorder="1" applyAlignment="1">
      <alignment vertical="top" wrapText="1"/>
    </xf>
    <xf numFmtId="165" fontId="7" fillId="0" borderId="28" xfId="0" applyNumberFormat="1" applyFont="1" applyBorder="1" applyAlignment="1">
      <alignment horizontal="center" vertical="top" wrapText="1"/>
    </xf>
    <xf numFmtId="165" fontId="7" fillId="3" borderId="29" xfId="0" applyNumberFormat="1" applyFont="1" applyFill="1" applyBorder="1" applyAlignment="1">
      <alignment vertical="top" wrapText="1"/>
    </xf>
    <xf numFmtId="165" fontId="7" fillId="0" borderId="30" xfId="0" applyNumberFormat="1" applyFont="1" applyBorder="1" applyAlignment="1">
      <alignment horizontal="center" vertical="top" wrapText="1"/>
    </xf>
    <xf numFmtId="165" fontId="7" fillId="3" borderId="31" xfId="0" applyNumberFormat="1" applyFont="1" applyFill="1" applyBorder="1" applyAlignment="1">
      <alignment vertical="top" wrapText="1"/>
    </xf>
    <xf numFmtId="165" fontId="7" fillId="0" borderId="32" xfId="0" applyNumberFormat="1" applyFont="1" applyBorder="1" applyAlignment="1">
      <alignment horizontal="center" vertical="top" wrapText="1"/>
    </xf>
    <xf numFmtId="165" fontId="7" fillId="3" borderId="33" xfId="0" applyNumberFormat="1" applyFont="1" applyFill="1" applyBorder="1" applyAlignment="1">
      <alignment vertical="top" wrapText="1"/>
    </xf>
    <xf numFmtId="165" fontId="7" fillId="0" borderId="34" xfId="0" applyNumberFormat="1" applyFont="1" applyBorder="1" applyAlignment="1">
      <alignment horizontal="center" vertical="top" wrapText="1"/>
    </xf>
    <xf numFmtId="165" fontId="7" fillId="3" borderId="35" xfId="0" applyNumberFormat="1" applyFont="1" applyFill="1" applyBorder="1" applyAlignment="1">
      <alignment vertical="top" wrapText="1"/>
    </xf>
    <xf numFmtId="165" fontId="7" fillId="0" borderId="36" xfId="0" applyNumberFormat="1" applyFont="1" applyBorder="1" applyAlignment="1">
      <alignment horizontal="center" vertical="top" wrapText="1"/>
    </xf>
    <xf numFmtId="165" fontId="7" fillId="3" borderId="37" xfId="0" applyNumberFormat="1" applyFont="1" applyFill="1" applyBorder="1" applyAlignment="1">
      <alignment vertical="top" wrapText="1"/>
    </xf>
    <xf numFmtId="165" fontId="7" fillId="0" borderId="38" xfId="0" applyNumberFormat="1" applyFont="1" applyBorder="1" applyAlignment="1">
      <alignment horizontal="center" vertical="top" wrapText="1"/>
    </xf>
    <xf numFmtId="165" fontId="7" fillId="3" borderId="39" xfId="0" applyNumberFormat="1" applyFont="1" applyFill="1" applyBorder="1" applyAlignment="1">
      <alignment vertical="top" wrapText="1"/>
    </xf>
    <xf numFmtId="0" fontId="8" fillId="0" borderId="0" xfId="0" applyFont="1" applyProtection="1">
      <protection hidden="1"/>
    </xf>
    <xf numFmtId="4" fontId="5" fillId="0" borderId="15" xfId="0" applyNumberFormat="1" applyFont="1" applyBorder="1" applyProtection="1">
      <protection locked="0"/>
    </xf>
    <xf numFmtId="44" fontId="5" fillId="0" borderId="15" xfId="0" applyNumberFormat="1" applyFont="1" applyBorder="1" applyProtection="1">
      <protection locked="0"/>
    </xf>
    <xf numFmtId="166" fontId="5" fillId="0" borderId="15" xfId="0" applyNumberFormat="1" applyFont="1" applyBorder="1" applyProtection="1">
      <protection locked="0"/>
    </xf>
    <xf numFmtId="44" fontId="5" fillId="0" borderId="0" xfId="0" applyNumberFormat="1" applyFont="1" applyProtection="1">
      <protection locked="0" hidden="1"/>
    </xf>
    <xf numFmtId="44" fontId="5" fillId="0" borderId="16" xfId="0" applyNumberFormat="1" applyFont="1" applyBorder="1" applyProtection="1">
      <protection locked="0"/>
    </xf>
    <xf numFmtId="44" fontId="5" fillId="2" borderId="0" xfId="0" applyNumberFormat="1" applyFont="1" applyFill="1" applyProtection="1">
      <protection locked="0"/>
    </xf>
    <xf numFmtId="4" fontId="5" fillId="0" borderId="0" xfId="0" applyNumberFormat="1" applyFont="1" applyProtection="1">
      <protection locked="0"/>
    </xf>
    <xf numFmtId="0" fontId="5" fillId="0" borderId="6" xfId="0" applyFont="1" applyBorder="1" applyAlignment="1" applyProtection="1">
      <alignment horizontal="right"/>
      <protection hidden="1"/>
    </xf>
    <xf numFmtId="0" fontId="5" fillId="0" borderId="7" xfId="0" applyFont="1" applyBorder="1" applyAlignment="1" applyProtection="1">
      <alignment horizontal="right"/>
      <protection hidden="1"/>
    </xf>
    <xf numFmtId="44" fontId="5" fillId="0" borderId="8" xfId="0" applyNumberFormat="1" applyFont="1" applyBorder="1" applyAlignment="1" applyProtection="1">
      <alignment horizontal="center"/>
      <protection hidden="1"/>
    </xf>
    <xf numFmtId="44" fontId="5" fillId="0" borderId="9" xfId="0" applyNumberFormat="1" applyFont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165" fontId="9" fillId="0" borderId="0" xfId="0" applyNumberFormat="1" applyFont="1" applyProtection="1">
      <protection hidden="1"/>
    </xf>
    <xf numFmtId="44" fontId="9" fillId="0" borderId="0" xfId="0" applyNumberFormat="1" applyFont="1" applyProtection="1">
      <protection hidden="1"/>
    </xf>
    <xf numFmtId="44" fontId="9" fillId="0" borderId="0" xfId="1" applyFont="1" applyProtection="1">
      <protection hidden="1"/>
    </xf>
    <xf numFmtId="165" fontId="9" fillId="0" borderId="0" xfId="1" applyNumberFormat="1" applyFont="1" applyProtection="1">
      <protection hidden="1"/>
    </xf>
  </cellXfs>
  <cellStyles count="4">
    <cellStyle name="Euro" xfId="3"/>
    <cellStyle name="Prozent" xfId="2" builtinId="5"/>
    <cellStyle name="Standard" xfId="0" builtinId="0"/>
    <cellStyle name="Währung" xfId="1" builtinId="4"/>
  </cellStyles>
  <dxfs count="17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371475</xdr:colOff>
      <xdr:row>57</xdr:row>
      <xdr:rowOff>28575</xdr:rowOff>
    </xdr:from>
    <xdr:to>
      <xdr:col>13</xdr:col>
      <xdr:colOff>371475</xdr:colOff>
      <xdr:row>57</xdr:row>
      <xdr:rowOff>180975</xdr:rowOff>
    </xdr:to>
    <xdr:cxnSp macro="">
      <xdr:nvCxnSpPr>
        <xdr:cNvPr id="3" name="Gerade Verbindung mit Pfeil 2"/>
        <xdr:cNvCxnSpPr/>
      </xdr:nvCxnSpPr>
      <xdr:spPr>
        <a:xfrm flipV="1">
          <a:off x="7467600" y="10944225"/>
          <a:ext cx="0" cy="152400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46"/>
  <sheetViews>
    <sheetView tabSelected="1" zoomScale="110" zoomScaleNormal="110" workbookViewId="0">
      <selection activeCell="B21" sqref="B21"/>
    </sheetView>
  </sheetViews>
  <sheetFormatPr baseColWidth="10" defaultRowHeight="14.25"/>
  <cols>
    <col min="1" max="1" width="13.42578125" style="3" customWidth="1"/>
    <col min="2" max="2" width="11.42578125" style="3"/>
    <col min="3" max="3" width="13.140625" style="3" customWidth="1"/>
    <col min="4" max="4" width="16.5703125" style="3" customWidth="1"/>
    <col min="5" max="5" width="14.28515625" style="3" customWidth="1"/>
    <col min="6" max="6" width="12.140625" style="3" customWidth="1"/>
    <col min="7" max="7" width="14" style="3" customWidth="1"/>
    <col min="8" max="8" width="11.42578125" style="3"/>
    <col min="9" max="13" width="11.42578125" style="3" hidden="1" customWidth="1"/>
    <col min="14" max="14" width="14.42578125" style="3" customWidth="1"/>
    <col min="15" max="23" width="14.42578125" style="3" hidden="1" customWidth="1"/>
    <col min="24" max="26" width="14.42578125" style="3" customWidth="1"/>
    <col min="27" max="16384" width="11.42578125" style="3"/>
  </cols>
  <sheetData>
    <row r="1" spans="1:22">
      <c r="A1" s="3" t="s">
        <v>32</v>
      </c>
      <c r="B1" s="4" t="s">
        <v>36</v>
      </c>
      <c r="E1" s="3" t="str">
        <f>IF(B1="ER","für:","")</f>
        <v>für:</v>
      </c>
      <c r="F1" s="5" t="s">
        <v>58</v>
      </c>
      <c r="N1" s="6" t="s">
        <v>74</v>
      </c>
      <c r="O1" s="82" t="s">
        <v>32</v>
      </c>
      <c r="P1" s="82" t="s">
        <v>35</v>
      </c>
      <c r="Q1" s="82"/>
      <c r="R1" s="82" t="s">
        <v>55</v>
      </c>
      <c r="S1" s="82" t="s">
        <v>56</v>
      </c>
      <c r="T1" s="82">
        <f>IF(S1=$D$2,1,0)</f>
        <v>0</v>
      </c>
      <c r="U1" s="82"/>
      <c r="V1" s="82"/>
    </row>
    <row r="2" spans="1:22">
      <c r="C2" s="3" t="str">
        <f>IF(B1="AR","Varianten AR:","")</f>
        <v/>
      </c>
      <c r="D2" s="5"/>
      <c r="F2" s="3" t="str">
        <f>IF(AND(B1="ER",F1=""),"nach  'für'  Wert eintragen","")</f>
        <v/>
      </c>
      <c r="N2" s="7"/>
      <c r="O2" s="82"/>
      <c r="P2" s="82" t="s">
        <v>36</v>
      </c>
      <c r="Q2" s="82"/>
      <c r="R2" s="82"/>
      <c r="S2" s="82" t="s">
        <v>57</v>
      </c>
      <c r="T2" s="82">
        <f t="shared" ref="T2:T4" si="0">IF(S2=$D$2,1,0)</f>
        <v>0</v>
      </c>
      <c r="U2" s="82"/>
      <c r="V2" s="82"/>
    </row>
    <row r="3" spans="1:22">
      <c r="D3" s="3" t="str">
        <f>IF(AND(B1="AR",D2=""),"nach Varianten AR  Wert eintragen","")</f>
        <v/>
      </c>
      <c r="N3" s="7"/>
      <c r="O3" s="82"/>
      <c r="P3" s="82"/>
      <c r="Q3" s="82"/>
      <c r="R3" s="82"/>
      <c r="S3" s="82" t="s">
        <v>58</v>
      </c>
      <c r="T3" s="82">
        <f t="shared" si="0"/>
        <v>0</v>
      </c>
      <c r="U3" s="82"/>
      <c r="V3" s="82"/>
    </row>
    <row r="4" spans="1:22">
      <c r="A4" s="70" t="str">
        <f>IF(OR(S5=1,S6=1,AND(S10=1,AND(Q20=0,Q21=0)),S7=1,AND(B1="AR",T4=0)),"BonusGS/RGKorr.","")</f>
        <v>BonusGS/RGKorr.</v>
      </c>
      <c r="B4" s="5" t="s">
        <v>63</v>
      </c>
      <c r="F4" s="8" t="str">
        <f>IF(OR(AND(B1="AR",F1&lt;&gt;""),AND(B2&lt;&gt;"",A2=""),AND(A4="",B4&lt;&gt;""),AND(B1="ER",D2&lt;&gt;""),AND(A5="",B5&lt;&gt;"")),"unsinn(Text ohne vorab GELB)","")</f>
        <v/>
      </c>
      <c r="N4" s="7"/>
      <c r="O4" s="82"/>
      <c r="P4" s="82"/>
      <c r="Q4" s="82"/>
      <c r="R4" s="82"/>
      <c r="S4" s="82" t="s">
        <v>59</v>
      </c>
      <c r="T4" s="82">
        <f t="shared" si="0"/>
        <v>0</v>
      </c>
      <c r="U4" s="82"/>
      <c r="V4" s="82"/>
    </row>
    <row r="5" spans="1:22">
      <c r="A5" s="3" t="str">
        <f>IF(OR(AND(B1="AR",T4=0),S5=1,S6=1,S7=1,S10=1),"Zahlung:","")</f>
        <v>Zahlung:</v>
      </c>
      <c r="B5" s="5" t="s">
        <v>50</v>
      </c>
      <c r="F5" s="8" t="str">
        <f>IF(AND(S10=1,B4="Anlagegutpreisnachlass"),"",IF(OR(B4="Anlagegutpreisnachlass",AND(AND(T3=0,Q19=1),AND(S7=0,Q19=1))),"GS ändern - so unsinnig",""))</f>
        <v/>
      </c>
      <c r="N5" s="7"/>
      <c r="O5" s="82" t="s">
        <v>38</v>
      </c>
      <c r="P5" s="82" t="s">
        <v>56</v>
      </c>
      <c r="Q5" s="82"/>
      <c r="R5" s="82"/>
      <c r="S5" s="82">
        <f t="shared" ref="S5:S12" si="1">IF($F$1=P5,1,0)</f>
        <v>0</v>
      </c>
      <c r="T5" s="82" t="s">
        <v>51</v>
      </c>
      <c r="U5" s="82"/>
      <c r="V5" s="82"/>
    </row>
    <row r="6" spans="1:22" ht="15" thickBot="1">
      <c r="N6" s="7"/>
      <c r="O6" s="82"/>
      <c r="P6" s="82" t="s">
        <v>57</v>
      </c>
      <c r="Q6" s="82"/>
      <c r="R6" s="82"/>
      <c r="S6" s="82">
        <f t="shared" si="1"/>
        <v>0</v>
      </c>
      <c r="T6" s="82" t="s">
        <v>51</v>
      </c>
      <c r="U6" s="82"/>
      <c r="V6" s="82"/>
    </row>
    <row r="7" spans="1:22">
      <c r="A7" s="9" t="str">
        <f>IF(B1="AR","Möbius KG",VLOOKUP(F1,P5:T12,5,FALSE))</f>
        <v>Neuhaus GmbH Möbelwerke</v>
      </c>
      <c r="B7" s="10"/>
      <c r="C7" s="10"/>
      <c r="D7" s="10" t="s">
        <v>60</v>
      </c>
      <c r="E7" s="10"/>
      <c r="F7" s="10" t="s">
        <v>0</v>
      </c>
      <c r="G7" s="11">
        <v>123</v>
      </c>
      <c r="N7" s="7"/>
      <c r="O7" s="82"/>
      <c r="P7" s="82" t="s">
        <v>58</v>
      </c>
      <c r="Q7" s="82"/>
      <c r="R7" s="82"/>
      <c r="S7" s="82">
        <f t="shared" si="1"/>
        <v>1</v>
      </c>
      <c r="T7" s="82" t="str">
        <f>T5</f>
        <v>Neuhaus GmbH Möbelwerke</v>
      </c>
      <c r="U7" s="82"/>
      <c r="V7" s="82"/>
    </row>
    <row r="8" spans="1:22">
      <c r="A8" s="12" t="str">
        <f>IF(B1="ER","Möbius KG","Kundchen OHG")</f>
        <v>Möbius KG</v>
      </c>
      <c r="B8" s="13"/>
      <c r="C8" s="13"/>
      <c r="E8" s="13"/>
      <c r="F8" s="13" t="s">
        <v>61</v>
      </c>
      <c r="G8" s="14">
        <f ca="1">TODAY()-10</f>
        <v>44340</v>
      </c>
      <c r="N8" s="7"/>
      <c r="O8" s="82"/>
      <c r="P8" s="82" t="s">
        <v>42</v>
      </c>
      <c r="Q8" s="82"/>
      <c r="R8" s="82"/>
      <c r="S8" s="82">
        <f t="shared" si="1"/>
        <v>0</v>
      </c>
      <c r="T8" s="82" t="s">
        <v>52</v>
      </c>
      <c r="U8" s="82"/>
      <c r="V8" s="82"/>
    </row>
    <row r="9" spans="1:22">
      <c r="A9" s="12"/>
      <c r="B9" s="13"/>
      <c r="C9" s="13"/>
      <c r="D9" s="13"/>
      <c r="E9" s="13"/>
      <c r="F9" s="13"/>
      <c r="G9" s="15"/>
      <c r="N9" s="7"/>
      <c r="O9" s="82"/>
      <c r="P9" s="82" t="s">
        <v>43</v>
      </c>
      <c r="Q9" s="82"/>
      <c r="R9" s="82"/>
      <c r="S9" s="82">
        <f t="shared" si="1"/>
        <v>0</v>
      </c>
      <c r="T9" s="82" t="str">
        <f>T8</f>
        <v>Schnell KG Transporte aller Art</v>
      </c>
      <c r="U9" s="82"/>
      <c r="V9" s="82"/>
    </row>
    <row r="10" spans="1:22">
      <c r="A10" s="16" t="s">
        <v>1</v>
      </c>
      <c r="B10" s="17" t="s">
        <v>2</v>
      </c>
      <c r="C10" s="17" t="s">
        <v>3</v>
      </c>
      <c r="D10" s="17" t="s">
        <v>4</v>
      </c>
      <c r="E10" s="17" t="s">
        <v>5</v>
      </c>
      <c r="F10" s="17" t="s">
        <v>6</v>
      </c>
      <c r="G10" s="18" t="s">
        <v>7</v>
      </c>
      <c r="N10" s="7"/>
      <c r="O10" s="82"/>
      <c r="P10" s="82" t="s">
        <v>39</v>
      </c>
      <c r="Q10" s="82"/>
      <c r="R10" s="82"/>
      <c r="S10" s="82">
        <f t="shared" si="1"/>
        <v>0</v>
      </c>
      <c r="T10" s="82" t="s">
        <v>53</v>
      </c>
      <c r="U10" s="82"/>
      <c r="V10" s="82"/>
    </row>
    <row r="11" spans="1:22">
      <c r="A11" s="12">
        <v>1</v>
      </c>
      <c r="B11" s="13">
        <v>123</v>
      </c>
      <c r="C11" s="13">
        <f>IF(OR(S8=1,S9=1,S10=1,S11=1),1,IF(S12=1,20,IF(AND(B1="AR",T4=1),0,15)))</f>
        <v>15</v>
      </c>
      <c r="D11" s="13" t="str">
        <f>IF(OR(S9=1,S8=1,S11=1),"Transport",IF(S12=1,"Radierer",IF(S10=1,"LKW",IF(AND(B1="AR",T4=1),"Transport","Tische"))))</f>
        <v>Tische</v>
      </c>
      <c r="E11" s="19">
        <f>IF(S12=1,0.99,IF(OR(S8=1,S9=1,S11=1),92,IF(S10=1,12400,IF(AND(B1="AR",T4=1),0,IF(B1="AR",52.3,37.5)))))</f>
        <v>37.5</v>
      </c>
      <c r="F11" s="20">
        <v>0.06</v>
      </c>
      <c r="G11" s="21">
        <f>ROUND(C11*E11*(1-F11),2)</f>
        <v>528.75</v>
      </c>
      <c r="N11" s="7"/>
      <c r="O11" s="82"/>
      <c r="P11" s="82" t="s">
        <v>40</v>
      </c>
      <c r="Q11" s="82"/>
      <c r="R11" s="82"/>
      <c r="S11" s="82">
        <f t="shared" si="1"/>
        <v>0</v>
      </c>
      <c r="T11" s="82" t="str">
        <f>T8</f>
        <v>Schnell KG Transporte aller Art</v>
      </c>
      <c r="U11" s="82"/>
      <c r="V11" s="82"/>
    </row>
    <row r="12" spans="1:22">
      <c r="A12" s="12">
        <f>IF(C12=3,2,"")</f>
        <v>2</v>
      </c>
      <c r="B12" s="13"/>
      <c r="C12" s="13">
        <f>IF(OR(T3=1,S7=1),3,"")</f>
        <v>3</v>
      </c>
      <c r="D12" s="13" t="str">
        <f>IF(C12=3,"Paletten",IF(S8=1,"Wa. an Möbius",IF(S9=1,"Waren zum  Kd",IF(S11=1,"Überf. LKW",""))))</f>
        <v>Paletten</v>
      </c>
      <c r="E12" s="22">
        <f>IF(C12=3,8.1,"")</f>
        <v>8.1</v>
      </c>
      <c r="F12" s="20"/>
      <c r="G12" s="23">
        <f>IF(C12="",0,ROUND(C12*E12*(1-F12),2))</f>
        <v>24.3</v>
      </c>
      <c r="N12" s="7"/>
      <c r="O12" s="82"/>
      <c r="P12" s="82" t="s">
        <v>41</v>
      </c>
      <c r="Q12" s="82"/>
      <c r="R12" s="82"/>
      <c r="S12" s="82">
        <f t="shared" si="1"/>
        <v>0</v>
      </c>
      <c r="T12" s="82" t="s">
        <v>54</v>
      </c>
      <c r="U12" s="82"/>
      <c r="V12" s="82"/>
    </row>
    <row r="13" spans="1:22">
      <c r="A13" s="16" t="str">
        <f>IF(OR(S8=1,S9=1,S10=1,S11=1,S12=1),"Wert","Warenwert")</f>
        <v>Warenwert</v>
      </c>
      <c r="B13" s="2" t="s">
        <v>8</v>
      </c>
      <c r="C13" s="17" t="s">
        <v>68</v>
      </c>
      <c r="D13" s="17" t="s">
        <v>9</v>
      </c>
      <c r="E13" s="17" t="s">
        <v>69</v>
      </c>
      <c r="F13" s="17" t="str">
        <f>IF(OR(S8=1,S9=1,S11=1),"","Fracht")</f>
        <v>Fracht</v>
      </c>
      <c r="G13" s="18" t="str">
        <f>IF(S10=1,"Zulassung","")</f>
        <v/>
      </c>
      <c r="N13" s="7"/>
      <c r="O13" s="82"/>
      <c r="P13" s="82"/>
      <c r="Q13" s="82"/>
      <c r="R13" s="82"/>
      <c r="S13" s="82"/>
      <c r="T13" s="82"/>
      <c r="U13" s="82"/>
      <c r="V13" s="82"/>
    </row>
    <row r="14" spans="1:22">
      <c r="A14" s="24">
        <f>G11+G12</f>
        <v>553.04999999999995</v>
      </c>
      <c r="B14" s="25">
        <f>IF(A14&lt;200,0%,5%)</f>
        <v>0.05</v>
      </c>
      <c r="C14" s="19">
        <f>ROUND(A14*(1-B14),2)</f>
        <v>525.4</v>
      </c>
      <c r="D14" s="25">
        <f>IF(A14&lt;500,0%,8%)</f>
        <v>0.08</v>
      </c>
      <c r="E14" s="26">
        <f>ROUND(C14*(1-D14),2)</f>
        <v>483.37</v>
      </c>
      <c r="F14" s="27">
        <f>IF(F13="",0,IF(OR(T1=1,S5=1,S12=1,S7=1,T3=1),0,ROUND(G11*7%+12.5,2)))</f>
        <v>0</v>
      </c>
      <c r="G14" s="23">
        <f>IF(G13&lt;&gt;"",84.3,0)</f>
        <v>0</v>
      </c>
      <c r="N14" s="7"/>
      <c r="O14" s="82"/>
      <c r="P14" s="82"/>
      <c r="Q14" s="82"/>
      <c r="R14" s="82"/>
      <c r="S14" s="82"/>
      <c r="T14" s="82"/>
      <c r="U14" s="82"/>
      <c r="V14" s="82"/>
    </row>
    <row r="15" spans="1:22">
      <c r="A15" s="12"/>
      <c r="B15" s="13"/>
      <c r="C15" s="13"/>
      <c r="D15" s="13"/>
      <c r="E15" s="13"/>
      <c r="F15" s="13"/>
      <c r="G15" s="15"/>
      <c r="N15" s="7"/>
      <c r="O15" s="82" t="s">
        <v>37</v>
      </c>
      <c r="P15" s="82"/>
      <c r="Q15" s="82" t="s">
        <v>44</v>
      </c>
      <c r="R15" s="82"/>
      <c r="S15" s="82"/>
      <c r="T15" s="82"/>
      <c r="U15" s="82"/>
      <c r="V15" s="82"/>
    </row>
    <row r="16" spans="1:22">
      <c r="A16" s="12" t="s">
        <v>12</v>
      </c>
      <c r="B16" s="28">
        <v>0.19</v>
      </c>
      <c r="C16" s="78" t="s">
        <v>13</v>
      </c>
      <c r="D16" s="79"/>
      <c r="E16" s="13"/>
      <c r="F16" s="13"/>
      <c r="G16" s="15"/>
      <c r="N16" s="7"/>
      <c r="O16" s="82"/>
      <c r="P16" s="82"/>
      <c r="Q16" s="82" t="s">
        <v>10</v>
      </c>
      <c r="R16" s="82"/>
      <c r="S16" s="82"/>
      <c r="T16" s="82"/>
      <c r="U16" s="82"/>
      <c r="V16" s="82"/>
    </row>
    <row r="17" spans="1:22">
      <c r="A17" s="24">
        <f>E14+F14+G14</f>
        <v>483.37</v>
      </c>
      <c r="B17" s="13">
        <f>ROUND(A17*B16,2)</f>
        <v>91.84</v>
      </c>
      <c r="C17" s="80">
        <f>A17+B17</f>
        <v>575.21</v>
      </c>
      <c r="D17" s="81"/>
      <c r="E17" s="13"/>
      <c r="F17" s="13"/>
      <c r="G17" s="15"/>
      <c r="N17" s="7"/>
      <c r="O17" s="82"/>
      <c r="P17" s="82"/>
      <c r="Q17" s="82"/>
      <c r="R17" s="82"/>
      <c r="S17" s="82"/>
      <c r="T17" s="82"/>
      <c r="U17" s="82"/>
      <c r="V17" s="82"/>
    </row>
    <row r="18" spans="1:22">
      <c r="A18" s="12"/>
      <c r="B18" s="13"/>
      <c r="C18" s="13"/>
      <c r="D18" s="13"/>
      <c r="E18" s="13"/>
      <c r="F18" s="13"/>
      <c r="G18" s="15"/>
      <c r="N18" s="7"/>
      <c r="O18" s="82" t="s">
        <v>33</v>
      </c>
      <c r="P18" s="82" t="s">
        <v>44</v>
      </c>
      <c r="Q18" s="82">
        <f t="shared" ref="Q18:Q23" si="2">IF(P18=$B$4,1,0)</f>
        <v>0</v>
      </c>
      <c r="R18" s="82"/>
      <c r="S18" s="82"/>
      <c r="T18" s="82"/>
      <c r="U18" s="82"/>
      <c r="V18" s="82"/>
    </row>
    <row r="19" spans="1:22" ht="15" thickBot="1">
      <c r="A19" s="29" t="s">
        <v>14</v>
      </c>
      <c r="B19" s="30" t="str">
        <f>IF(B5="skonto","14 Tage 4% Skonto 30 Tage netto vom Rechnungsendwert","sofort netto")</f>
        <v>14 Tage 4% Skonto 30 Tage netto vom Rechnungsendwert</v>
      </c>
      <c r="C19" s="30"/>
      <c r="D19" s="30"/>
      <c r="E19" s="30"/>
      <c r="F19" s="30"/>
      <c r="G19" s="31"/>
      <c r="N19" s="7"/>
      <c r="O19" s="82"/>
      <c r="P19" s="82" t="s">
        <v>63</v>
      </c>
      <c r="Q19" s="82">
        <f t="shared" si="2"/>
        <v>1</v>
      </c>
      <c r="R19" s="82"/>
      <c r="S19" s="82"/>
      <c r="T19" s="82"/>
      <c r="U19" s="82"/>
      <c r="V19" s="82"/>
    </row>
    <row r="20" spans="1:22">
      <c r="A20" s="32" t="s">
        <v>27</v>
      </c>
      <c r="B20" s="33" t="s">
        <v>28</v>
      </c>
      <c r="C20" s="33" t="s">
        <v>29</v>
      </c>
      <c r="D20" s="34" t="s">
        <v>30</v>
      </c>
      <c r="E20" s="34" t="s">
        <v>31</v>
      </c>
      <c r="N20" s="7"/>
      <c r="O20" s="82"/>
      <c r="P20" s="82" t="s">
        <v>45</v>
      </c>
      <c r="Q20" s="82">
        <f t="shared" si="2"/>
        <v>0</v>
      </c>
      <c r="R20" s="82"/>
      <c r="S20" s="82"/>
      <c r="T20" s="82"/>
      <c r="U20" s="82"/>
      <c r="V20" s="82"/>
    </row>
    <row r="21" spans="1:22">
      <c r="A21" s="32"/>
      <c r="B21" s="35"/>
      <c r="C21" s="35"/>
      <c r="D21" s="36"/>
      <c r="E21" s="36"/>
      <c r="F21" s="3" t="s">
        <v>62</v>
      </c>
      <c r="N21" s="7"/>
      <c r="O21" s="82"/>
      <c r="P21" s="82" t="s">
        <v>46</v>
      </c>
      <c r="Q21" s="82">
        <f t="shared" si="2"/>
        <v>0</v>
      </c>
      <c r="R21" s="82"/>
      <c r="S21" s="82"/>
      <c r="T21" s="82"/>
      <c r="U21" s="82"/>
      <c r="V21" s="82"/>
    </row>
    <row r="22" spans="1:22">
      <c r="A22" s="32"/>
      <c r="B22" s="35"/>
      <c r="C22" s="35"/>
      <c r="D22" s="36"/>
      <c r="E22" s="36"/>
      <c r="F22" s="1" t="str">
        <f ca="1">IF(AND(B21=S28,B22=S29,B23=S30,C21=T28,C22=T29,C23=T30),"Konten OK","Konten Falsch")</f>
        <v>Konten Falsch</v>
      </c>
      <c r="N22" s="7"/>
      <c r="O22" s="82"/>
      <c r="P22" s="82" t="s">
        <v>48</v>
      </c>
      <c r="Q22" s="82">
        <f t="shared" si="2"/>
        <v>0</v>
      </c>
      <c r="R22" s="82"/>
      <c r="S22" s="82"/>
      <c r="T22" s="82"/>
      <c r="U22" s="82"/>
      <c r="V22" s="82"/>
    </row>
    <row r="23" spans="1:22">
      <c r="A23" s="32"/>
      <c r="B23" s="35"/>
      <c r="C23" s="35"/>
      <c r="D23" s="36"/>
      <c r="E23" s="36"/>
      <c r="F23" s="1" t="str">
        <f ca="1">IF(AND(D21=U28,D22=U29,D23=U30,E21=V28,E22=V29,E23=V30),"Beträge OK","Beträge Falsch")</f>
        <v>Beträge Falsch</v>
      </c>
      <c r="N23" s="7"/>
      <c r="O23" s="82"/>
      <c r="P23" s="82" t="s">
        <v>47</v>
      </c>
      <c r="Q23" s="82">
        <f t="shared" si="2"/>
        <v>0</v>
      </c>
      <c r="R23" s="82"/>
      <c r="S23" s="82"/>
      <c r="T23" s="82"/>
      <c r="U23" s="82"/>
      <c r="V23" s="82"/>
    </row>
    <row r="24" spans="1:22" ht="15" thickBot="1">
      <c r="B24" s="37" t="str">
        <f>IF(B23&lt;&gt;"",IF(B23&gt;B22,"","Reihenfolge"),"")&amp;IF(B22&lt;&gt;"",IF(B22&gt;B21,"","Reihenfolge"),"")</f>
        <v/>
      </c>
      <c r="C24" s="37" t="str">
        <f>IF(C23&lt;&gt;"",IF(C23&gt;C22,"","Reihenfolge"),"")&amp;IF(C22&lt;&gt;"",IF(C22&gt;C21,"","Reihenfolge"),"")</f>
        <v/>
      </c>
      <c r="N24" s="7"/>
      <c r="O24" s="82"/>
      <c r="P24" s="82"/>
      <c r="Q24" s="82"/>
      <c r="R24" s="82"/>
      <c r="S24" s="82"/>
      <c r="T24" s="82"/>
      <c r="U24" s="82"/>
      <c r="V24" s="82"/>
    </row>
    <row r="25" spans="1:22">
      <c r="A25" s="9" t="str">
        <f>A7</f>
        <v>Neuhaus GmbH Möbelwerke</v>
      </c>
      <c r="B25" s="10"/>
      <c r="C25" s="10"/>
      <c r="D25" s="10" t="str">
        <f>IF(B4="Warenbonus","BonusGS","GS/RGKorr.")</f>
        <v>GS/RGKorr.</v>
      </c>
      <c r="E25" s="10"/>
      <c r="F25" s="10" t="s">
        <v>0</v>
      </c>
      <c r="G25" s="11">
        <v>12</v>
      </c>
      <c r="N25" s="7"/>
      <c r="O25" s="82" t="s">
        <v>34</v>
      </c>
      <c r="P25" s="82" t="s">
        <v>49</v>
      </c>
      <c r="Q25" s="82">
        <f>IF($B$5=P25,1,0)</f>
        <v>0</v>
      </c>
      <c r="R25" s="82"/>
      <c r="S25" s="82"/>
      <c r="T25" s="82"/>
      <c r="U25" s="82"/>
      <c r="V25" s="82"/>
    </row>
    <row r="26" spans="1:22">
      <c r="A26" s="12" t="str">
        <f>A8</f>
        <v>Möbius KG</v>
      </c>
      <c r="B26" s="13"/>
      <c r="C26" s="13"/>
      <c r="D26" s="13"/>
      <c r="E26" s="13"/>
      <c r="F26" s="13" t="s">
        <v>61</v>
      </c>
      <c r="G26" s="14">
        <f ca="1">G8+2</f>
        <v>44342</v>
      </c>
      <c r="N26" s="7"/>
      <c r="O26" s="82"/>
      <c r="P26" s="82" t="s">
        <v>50</v>
      </c>
      <c r="Q26" s="82">
        <f>IF($B$5=P26,1,0)</f>
        <v>1</v>
      </c>
      <c r="R26" s="82"/>
      <c r="S26" s="82"/>
      <c r="T26" s="82"/>
      <c r="U26" s="82"/>
      <c r="V26" s="82"/>
    </row>
    <row r="27" spans="1:22">
      <c r="A27" s="12"/>
      <c r="B27" s="13"/>
      <c r="C27" s="13"/>
      <c r="D27" s="13"/>
      <c r="E27" s="13"/>
      <c r="F27" s="13"/>
      <c r="G27" s="15"/>
      <c r="N27" s="7"/>
      <c r="O27" s="82"/>
      <c r="P27" s="82"/>
      <c r="Q27" s="82"/>
      <c r="R27" s="82"/>
      <c r="S27" s="82"/>
      <c r="T27" s="82"/>
      <c r="U27" s="82"/>
      <c r="V27" s="82"/>
    </row>
    <row r="28" spans="1:22">
      <c r="A28" s="16" t="s">
        <v>1</v>
      </c>
      <c r="B28" s="17" t="s">
        <v>2</v>
      </c>
      <c r="C28" s="17" t="s">
        <v>3</v>
      </c>
      <c r="D28" s="17" t="s">
        <v>4</v>
      </c>
      <c r="E28" s="17" t="s">
        <v>5</v>
      </c>
      <c r="F28" s="17" t="s">
        <v>6</v>
      </c>
      <c r="G28" s="18" t="s">
        <v>7</v>
      </c>
      <c r="N28" s="7"/>
      <c r="O28" s="82"/>
      <c r="P28" s="82"/>
      <c r="Q28" s="82"/>
      <c r="R28" s="82"/>
      <c r="S28" s="83">
        <f ca="1">IF(INDIRECT("S"&amp;VLOOKUP(1,Q36:V72,2,0))=0,"",INDIRECT("S"&amp;VLOOKUP(1,Q36:V72,2,0)))</f>
        <v>141</v>
      </c>
      <c r="T28" s="82">
        <f ca="1">IF(INDIRECT("T"&amp;VLOOKUP(1,Q36:V72,2,0))=0,"",INDIRECT("T"&amp;VLOOKUP(1,Q36:V72,2,0)))</f>
        <v>171</v>
      </c>
      <c r="U28" s="82">
        <f ca="1">IF(INDIRECT("U"&amp;VLOOKUP(1,Q36:V72,2,0))=0,"",INDIRECT("U"&amp;VLOOKUP(1,Q36:V72,2,0)))</f>
        <v>91.84</v>
      </c>
      <c r="V28" s="82">
        <f ca="1">IF(INDIRECT("V"&amp;VLOOKUP(1,Q36:V72,2,0))=0,"",INDIRECT("V"&amp;VLOOKUP(1,Q36:V72,2,0)))</f>
        <v>575.21</v>
      </c>
    </row>
    <row r="29" spans="1:22">
      <c r="A29" s="12">
        <f>A11</f>
        <v>1</v>
      </c>
      <c r="B29" s="13">
        <v>123</v>
      </c>
      <c r="C29" s="13">
        <f>IF(OR(Q18=1,B4="",A4="",F5&lt;&gt;""),0,IF(OR(AND(S7=1,Q19=1),AND(T3=1,Q19=1)),3,IF(OR(Q22=1,Q23=1),1,IF(OR(T1=1,T2=1,T3=1,S5=1,S6=1,S7=1,Q20=1),C11-10,44))))</f>
        <v>3</v>
      </c>
      <c r="D29" s="13" t="str">
        <f>IF(C29=3,"Paletten",IF(Q22=1,"Bonus",D11))</f>
        <v>Paletten</v>
      </c>
      <c r="E29" s="19">
        <f>IF(C29=3,E12,IF(Q22=1,410,E11))</f>
        <v>8.1</v>
      </c>
      <c r="F29" s="20">
        <f>IF(Q21=1,60%,IF(Q23=1,78%,IF(OR(Q22=1,C29=3),0%,F11)))</f>
        <v>0</v>
      </c>
      <c r="G29" s="21">
        <f>ROUND(C29*E29*(1-F29),2)</f>
        <v>24.3</v>
      </c>
      <c r="N29" s="7"/>
      <c r="O29" s="82"/>
      <c r="P29" s="82"/>
      <c r="Q29" s="82"/>
      <c r="R29" s="82"/>
      <c r="S29" s="82">
        <f ca="1">IF(INDIRECT("S"&amp;VLOOKUP(1,Q36:V72,2,0)+1)=0,"",INDIRECT("S"&amp;VLOOKUP(1,Q36:V72,2,0)+1))</f>
        <v>301</v>
      </c>
      <c r="T29" s="82" t="str">
        <f ca="1">IF(INDIRECT("T"&amp;VLOOKUP(1,Q36:V72,2,0)+1)=0,"",INDIRECT("T"&amp;VLOOKUP(1,Q36:V72,2,0)+1))</f>
        <v/>
      </c>
      <c r="U29" s="82">
        <f ca="1">IF(INDIRECT("U"&amp;VLOOKUP(1,Q36:V72,2,0)+1)=0,"",INDIRECT("U"&amp;VLOOKUP(1,Q36:V72,2,0)+1))</f>
        <v>462.13</v>
      </c>
      <c r="V29" s="82" t="str">
        <f ca="1">IF(INDIRECT("V"&amp;VLOOKUP(1,Q36:V72,2,0)+1)=0,"",INDIRECT("V"&amp;VLOOKUP(1,Q36:V72,2,0)+1))</f>
        <v/>
      </c>
    </row>
    <row r="30" spans="1:22">
      <c r="A30" s="12"/>
      <c r="B30" s="13"/>
      <c r="C30" s="13"/>
      <c r="D30" s="13" t="str">
        <f>B4</f>
        <v>Palettenrückgabe</v>
      </c>
      <c r="E30" s="19"/>
      <c r="F30" s="20"/>
      <c r="G30" s="21"/>
      <c r="N30" s="7"/>
      <c r="O30" s="82"/>
      <c r="P30" s="82"/>
      <c r="Q30" s="82"/>
      <c r="R30" s="82"/>
      <c r="S30" s="82">
        <f ca="1">IF(INDIRECT("S"&amp;VLOOKUP(1,Q36:V72,2,0)+2)=0,"",INDIRECT("S"&amp;VLOOKUP(1,Q36:V72,2,0)+2))</f>
        <v>302</v>
      </c>
      <c r="T30" s="82" t="str">
        <f ca="1">IF(INDIRECT("T"&amp;VLOOKUP(1,Q36:V72,2,0)+2)=0,"",INDIRECT("T"&amp;VLOOKUP(1,Q36:V72,2,0)+2))</f>
        <v/>
      </c>
      <c r="U30" s="82">
        <f ca="1">IF(INDIRECT("U"&amp;VLOOKUP(1,Q36:V72,2,0)+2)=0,"",INDIRECT("U"&amp;VLOOKUP(1,Q36:V72,2,0)+2))</f>
        <v>21.24</v>
      </c>
      <c r="V30" s="82" t="str">
        <f ca="1">IF(INDIRECT("V"&amp;VLOOKUP(1,Q36:V72,2,0)+2)=0,"",INDIRECT("V"&amp;VLOOKUP(1,Q36:V72,2,0)+2))</f>
        <v/>
      </c>
    </row>
    <row r="31" spans="1:22">
      <c r="A31" s="16" t="str">
        <f>A13</f>
        <v>Warenwert</v>
      </c>
      <c r="B31" s="2" t="s">
        <v>8</v>
      </c>
      <c r="C31" s="17" t="str">
        <f>C13</f>
        <v>Wert II</v>
      </c>
      <c r="D31" s="17" t="s">
        <v>9</v>
      </c>
      <c r="E31" s="17" t="str">
        <f>E13</f>
        <v>Wert III</v>
      </c>
      <c r="F31" s="17" t="s">
        <v>10</v>
      </c>
      <c r="G31" s="18" t="s">
        <v>11</v>
      </c>
      <c r="N31" s="7"/>
      <c r="O31" s="82" t="s">
        <v>70</v>
      </c>
      <c r="P31" s="82"/>
      <c r="Q31" s="84">
        <f ca="1">ROUND(IF(B1="AR",B17-B35-IF(B5="skonto",U118,0),IF(B1="ER",B17-B35-IF(B5="skonto",IF(F1="Anlagegut(hier bsphaft LKW)",V119,V118),0))),2)</f>
        <v>84.29</v>
      </c>
      <c r="R31" s="82"/>
      <c r="S31" s="82"/>
      <c r="T31" s="82"/>
      <c r="U31" s="82"/>
      <c r="V31" s="82"/>
    </row>
    <row r="32" spans="1:22">
      <c r="A32" s="24">
        <f>G29+G30</f>
        <v>24.3</v>
      </c>
      <c r="B32" s="25">
        <f>IF(Q22=1,0%,B14)</f>
        <v>0.05</v>
      </c>
      <c r="C32" s="19">
        <f>ROUND(A32*(1-B32),2)</f>
        <v>23.09</v>
      </c>
      <c r="D32" s="25">
        <f>IF(Q22=1,0%,D14)</f>
        <v>0.08</v>
      </c>
      <c r="E32" s="26">
        <f>ROUND(C32*(1-D32),2)</f>
        <v>21.24</v>
      </c>
      <c r="F32" s="26">
        <v>0</v>
      </c>
      <c r="G32" s="21">
        <v>0</v>
      </c>
      <c r="N32" s="7"/>
      <c r="O32" s="82" t="s">
        <v>71</v>
      </c>
      <c r="P32" s="82"/>
      <c r="Q32" s="84">
        <f ca="1">ROUND(A17-A35-IF(B5="skonto",V119,0),2)</f>
        <v>443.64</v>
      </c>
      <c r="R32" s="82"/>
      <c r="S32" s="82"/>
      <c r="T32" s="82"/>
      <c r="U32" s="82"/>
      <c r="V32" s="82"/>
    </row>
    <row r="33" spans="1:22">
      <c r="A33" s="12"/>
      <c r="B33" s="13"/>
      <c r="C33" s="13"/>
      <c r="D33" s="13"/>
      <c r="E33" s="13"/>
      <c r="F33" s="13"/>
      <c r="G33" s="15"/>
      <c r="N33" s="7"/>
      <c r="O33" s="82" t="s">
        <v>72</v>
      </c>
      <c r="P33" s="82"/>
      <c r="Q33" s="84">
        <f ca="1">ROUND(A17-A35-IF(B5="skonto",V117,0),2)</f>
        <v>-65.8</v>
      </c>
      <c r="R33" s="82"/>
      <c r="S33" s="82"/>
      <c r="T33" s="82"/>
      <c r="U33" s="82"/>
      <c r="V33" s="82"/>
    </row>
    <row r="34" spans="1:22">
      <c r="A34" s="12" t="s">
        <v>12</v>
      </c>
      <c r="B34" s="28">
        <v>0.19</v>
      </c>
      <c r="C34" s="78" t="s">
        <v>13</v>
      </c>
      <c r="D34" s="79"/>
      <c r="E34" s="13"/>
      <c r="F34" s="13"/>
      <c r="G34" s="15"/>
      <c r="N34" s="72"/>
      <c r="O34" s="82"/>
      <c r="P34" s="82"/>
      <c r="Q34" s="82"/>
      <c r="R34" s="82"/>
      <c r="S34" s="82"/>
      <c r="T34" s="82"/>
      <c r="U34" s="82"/>
      <c r="V34" s="82"/>
    </row>
    <row r="35" spans="1:22">
      <c r="A35" s="24">
        <f>E32+F32+G32</f>
        <v>21.24</v>
      </c>
      <c r="B35" s="27">
        <f>ROUND(A35*B34,2)</f>
        <v>4.04</v>
      </c>
      <c r="C35" s="80">
        <f>A35+B35</f>
        <v>25.279999999999998</v>
      </c>
      <c r="D35" s="81"/>
      <c r="E35" s="13"/>
      <c r="F35" s="13"/>
      <c r="G35" s="15"/>
      <c r="N35" s="72"/>
      <c r="O35" s="82"/>
      <c r="P35" s="82"/>
      <c r="Q35" s="82"/>
      <c r="R35" s="82"/>
      <c r="S35" s="82"/>
      <c r="T35" s="82"/>
      <c r="U35" s="82"/>
      <c r="V35" s="82"/>
    </row>
    <row r="36" spans="1:22">
      <c r="A36" s="12"/>
      <c r="B36" s="13"/>
      <c r="C36" s="13"/>
      <c r="D36" s="13"/>
      <c r="E36" s="13"/>
      <c r="F36" s="13"/>
      <c r="G36" s="15"/>
      <c r="N36" s="72"/>
      <c r="O36" s="82" t="s">
        <v>35</v>
      </c>
      <c r="P36" s="82" t="str">
        <f>S1</f>
        <v>nur Ware</v>
      </c>
      <c r="Q36" s="82">
        <f>T1</f>
        <v>0</v>
      </c>
      <c r="R36" s="82">
        <f>ROW()</f>
        <v>36</v>
      </c>
      <c r="S36" s="83">
        <v>101</v>
      </c>
      <c r="T36" s="83">
        <v>181</v>
      </c>
      <c r="U36" s="85">
        <f>C17</f>
        <v>575.21</v>
      </c>
      <c r="V36" s="85">
        <f>B17</f>
        <v>91.84</v>
      </c>
    </row>
    <row r="37" spans="1:22" ht="15" thickBot="1">
      <c r="A37" s="29" t="s">
        <v>14</v>
      </c>
      <c r="B37" s="30" t="str">
        <f>B19</f>
        <v>14 Tage 4% Skonto 30 Tage netto vom Rechnungsendwert</v>
      </c>
      <c r="C37" s="30"/>
      <c r="D37" s="30"/>
      <c r="E37" s="30"/>
      <c r="F37" s="30"/>
      <c r="G37" s="31"/>
      <c r="N37" s="72"/>
      <c r="O37" s="82"/>
      <c r="P37" s="82"/>
      <c r="Q37" s="82"/>
      <c r="R37" s="82"/>
      <c r="S37" s="83"/>
      <c r="T37" s="83">
        <v>801</v>
      </c>
      <c r="U37" s="85"/>
      <c r="V37" s="85">
        <f>A17</f>
        <v>483.37</v>
      </c>
    </row>
    <row r="38" spans="1:22">
      <c r="A38" s="32" t="s">
        <v>27</v>
      </c>
      <c r="B38" s="33" t="s">
        <v>28</v>
      </c>
      <c r="C38" s="33" t="s">
        <v>29</v>
      </c>
      <c r="D38" s="34" t="s">
        <v>30</v>
      </c>
      <c r="E38" s="34" t="s">
        <v>31</v>
      </c>
      <c r="N38" s="72"/>
      <c r="O38" s="82"/>
      <c r="P38" s="82"/>
      <c r="Q38" s="82"/>
      <c r="R38" s="82"/>
      <c r="S38" s="86"/>
      <c r="T38" s="83"/>
      <c r="U38" s="85"/>
      <c r="V38" s="85"/>
    </row>
    <row r="39" spans="1:22">
      <c r="A39" s="32">
        <f>G25</f>
        <v>12</v>
      </c>
      <c r="B39" s="35"/>
      <c r="C39" s="35"/>
      <c r="D39" s="36"/>
      <c r="E39" s="36"/>
      <c r="F39" s="3" t="s">
        <v>62</v>
      </c>
      <c r="N39" s="72"/>
      <c r="O39" s="82" t="s">
        <v>35</v>
      </c>
      <c r="P39" s="82" t="str">
        <f>S2</f>
        <v>Ware und Fracht</v>
      </c>
      <c r="Q39" s="82">
        <f>T2</f>
        <v>0</v>
      </c>
      <c r="R39" s="82">
        <f>ROW()</f>
        <v>39</v>
      </c>
      <c r="S39" s="86">
        <v>101</v>
      </c>
      <c r="T39" s="83">
        <v>181</v>
      </c>
      <c r="U39" s="85">
        <f>U36</f>
        <v>575.21</v>
      </c>
      <c r="V39" s="85">
        <f>V36</f>
        <v>91.84</v>
      </c>
    </row>
    <row r="40" spans="1:22">
      <c r="A40" s="32"/>
      <c r="B40" s="35"/>
      <c r="C40" s="35"/>
      <c r="D40" s="36"/>
      <c r="E40" s="36"/>
      <c r="F40" s="1" t="str">
        <f ca="1">IF(ISNA(IF(AND(B39=S75,B40=S76,B41=S77,C39=T75,C40=T76,C41=T77),"Konten OK","Konten Falsch"))=TRUE,"",IF(AND(B39=S75,B40=S76,B41=S77,C39=T75,C40=T76,C41=T77),"Konto OK","Konten Falsch"))</f>
        <v>Konten Falsch</v>
      </c>
      <c r="G40" s="39" t="str">
        <f>IF(AND(Q86=1,B40=805),"801 wäre mir lieber","")</f>
        <v/>
      </c>
      <c r="N40" s="73"/>
      <c r="O40" s="82"/>
      <c r="P40" s="82"/>
      <c r="Q40" s="82"/>
      <c r="R40" s="82"/>
      <c r="S40" s="86"/>
      <c r="T40" s="83">
        <v>801</v>
      </c>
      <c r="U40" s="85"/>
      <c r="V40" s="85">
        <f>V37</f>
        <v>483.37</v>
      </c>
    </row>
    <row r="41" spans="1:22">
      <c r="A41" s="32"/>
      <c r="B41" s="35"/>
      <c r="C41" s="35"/>
      <c r="D41" s="36"/>
      <c r="E41" s="36"/>
      <c r="F41" s="1" t="str">
        <f ca="1">IF(ISNA(IF(AND(D39=U75,D40=U76,D41=U77,E39=V75,E40=V76,E41=V77),"Beträge OK","Beträge Falsch"))=TRUE,"",IF(AND(D39=U75,D40=U76,D41=U77,E39=V75,E40=V76,E41=V77),"Beträge OK","Beträge Falsch"))</f>
        <v>Beträge Falsch</v>
      </c>
      <c r="N41" s="72"/>
      <c r="O41" s="82"/>
      <c r="P41" s="82"/>
      <c r="Q41" s="82"/>
      <c r="R41" s="82"/>
      <c r="S41" s="86"/>
      <c r="T41" s="83"/>
      <c r="U41" s="85"/>
      <c r="V41" s="85"/>
    </row>
    <row r="42" spans="1:22" ht="15" thickBot="1">
      <c r="B42" s="37" t="str">
        <f>IF(B41&lt;&gt;"",IF(B41&gt;B40,"","Reihenfolge"),"")&amp;IF(B40&lt;&gt;"",IF(B40&gt;B39,"","Reihenfolge"),"")</f>
        <v/>
      </c>
      <c r="C42" s="37" t="str">
        <f>IF(C41&lt;&gt;"",IF(C41&gt;C40,"","Reihenfolge"),"")&amp;IF(C40&lt;&gt;"",IF(C40&gt;C39,"","Reihenfolge"),"")</f>
        <v/>
      </c>
      <c r="N42" s="74"/>
      <c r="O42" s="82" t="s">
        <v>35</v>
      </c>
      <c r="P42" s="82" t="str">
        <f>S3</f>
        <v>Ware und Paletten</v>
      </c>
      <c r="Q42" s="82">
        <f>T3</f>
        <v>0</v>
      </c>
      <c r="R42" s="82">
        <f>ROW()</f>
        <v>42</v>
      </c>
      <c r="S42" s="86">
        <f>S39</f>
        <v>101</v>
      </c>
      <c r="T42" s="86">
        <f>T39</f>
        <v>181</v>
      </c>
      <c r="U42" s="85">
        <f>U39</f>
        <v>575.21</v>
      </c>
      <c r="V42" s="85">
        <f>V39</f>
        <v>91.84</v>
      </c>
    </row>
    <row r="43" spans="1:22">
      <c r="A43" s="9" t="s">
        <v>15</v>
      </c>
      <c r="B43" s="10"/>
      <c r="C43" s="40">
        <f ca="1">TODAY()</f>
        <v>44350</v>
      </c>
      <c r="D43" s="11"/>
      <c r="N43" s="74"/>
      <c r="O43" s="82"/>
      <c r="P43" s="82"/>
      <c r="Q43" s="82"/>
      <c r="R43" s="82"/>
      <c r="S43" s="86"/>
      <c r="T43" s="86">
        <f>T40</f>
        <v>801</v>
      </c>
      <c r="U43" s="85"/>
      <c r="V43" s="85">
        <f>V40</f>
        <v>483.37</v>
      </c>
    </row>
    <row r="44" spans="1:22">
      <c r="A44" s="12"/>
      <c r="B44" s="13"/>
      <c r="C44" s="13" t="s">
        <v>16</v>
      </c>
      <c r="D44" s="15"/>
      <c r="N44" s="5"/>
      <c r="O44" s="82"/>
      <c r="P44" s="82"/>
      <c r="Q44" s="82"/>
      <c r="R44" s="82"/>
      <c r="S44" s="86"/>
      <c r="T44" s="83"/>
      <c r="U44" s="85"/>
      <c r="V44" s="85"/>
    </row>
    <row r="45" spans="1:22">
      <c r="A45" s="12"/>
      <c r="D45" s="15"/>
      <c r="N45" s="7"/>
      <c r="O45" s="82" t="s">
        <v>35</v>
      </c>
      <c r="P45" s="82" t="str">
        <f>S4</f>
        <v>nur Fracht</v>
      </c>
      <c r="Q45" s="82">
        <f>T4</f>
        <v>0</v>
      </c>
      <c r="R45" s="82">
        <f>ROW()</f>
        <v>45</v>
      </c>
      <c r="S45" s="86">
        <f>S42</f>
        <v>101</v>
      </c>
      <c r="T45" s="86">
        <f>T42</f>
        <v>181</v>
      </c>
      <c r="U45" s="85">
        <f>U42</f>
        <v>575.21</v>
      </c>
      <c r="V45" s="85">
        <f>V42</f>
        <v>91.84</v>
      </c>
    </row>
    <row r="46" spans="1:22">
      <c r="A46" s="12" t="s">
        <v>17</v>
      </c>
      <c r="B46" s="13" t="s">
        <v>18</v>
      </c>
      <c r="C46" s="41" t="s">
        <v>19</v>
      </c>
      <c r="D46" s="42" t="s">
        <v>20</v>
      </c>
      <c r="N46" s="71"/>
      <c r="O46" s="82"/>
      <c r="P46" s="82"/>
      <c r="Q46" s="82"/>
      <c r="R46" s="82"/>
      <c r="S46" s="86"/>
      <c r="T46" s="86">
        <f>T43</f>
        <v>801</v>
      </c>
      <c r="U46" s="85"/>
      <c r="V46" s="85">
        <f>V43</f>
        <v>483.37</v>
      </c>
    </row>
    <row r="47" spans="1:22">
      <c r="A47" s="16">
        <v>45678</v>
      </c>
      <c r="B47" s="17">
        <v>56</v>
      </c>
      <c r="C47" s="13"/>
      <c r="D47" s="42" t="s">
        <v>21</v>
      </c>
      <c r="N47" s="71"/>
      <c r="O47" s="82"/>
      <c r="P47" s="82"/>
      <c r="Q47" s="82"/>
      <c r="R47" s="82"/>
      <c r="S47" s="83"/>
      <c r="T47" s="83"/>
      <c r="U47" s="85"/>
      <c r="V47" s="85"/>
    </row>
    <row r="48" spans="1:22">
      <c r="A48" s="12" t="s">
        <v>22</v>
      </c>
      <c r="B48" s="13" t="s">
        <v>23</v>
      </c>
      <c r="C48" s="41" t="s">
        <v>24</v>
      </c>
      <c r="D48" s="42" t="s">
        <v>25</v>
      </c>
      <c r="N48" s="71"/>
      <c r="O48" s="82" t="s">
        <v>36</v>
      </c>
      <c r="P48" s="82" t="str">
        <f>P5</f>
        <v>nur Ware</v>
      </c>
      <c r="Q48" s="82">
        <f>S5</f>
        <v>0</v>
      </c>
      <c r="R48" s="82">
        <f>ROW()</f>
        <v>48</v>
      </c>
      <c r="S48" s="83">
        <v>141</v>
      </c>
      <c r="T48" s="83">
        <v>171</v>
      </c>
      <c r="U48" s="85">
        <f>B17</f>
        <v>91.84</v>
      </c>
      <c r="V48" s="85">
        <f>C17</f>
        <v>575.21</v>
      </c>
    </row>
    <row r="49" spans="1:22">
      <c r="A49" s="12">
        <v>456</v>
      </c>
      <c r="B49" s="43" t="s">
        <v>66</v>
      </c>
      <c r="C49" s="19">
        <f>IF(B1="ER",ROUND((C17-C35)*(1-IF(B5="skonto",4%,0)),2),0)</f>
        <v>527.92999999999995</v>
      </c>
      <c r="D49" s="44">
        <f>IF(B1="AR",ROUND((C17-C35)*(1-IF(B5="skonto",4%,0)),2),0)</f>
        <v>0</v>
      </c>
      <c r="N49" s="71"/>
      <c r="O49" s="82"/>
      <c r="P49" s="82"/>
      <c r="Q49" s="82"/>
      <c r="R49" s="82"/>
      <c r="S49" s="82">
        <v>301</v>
      </c>
      <c r="T49" s="82"/>
      <c r="U49" s="85">
        <f>A17</f>
        <v>483.37</v>
      </c>
      <c r="V49" s="85"/>
    </row>
    <row r="50" spans="1:22">
      <c r="A50" s="12"/>
      <c r="B50" s="13" t="str">
        <f>IF(B5="skonto","abzgl. Sko","")</f>
        <v>abzgl. Sko</v>
      </c>
      <c r="C50" s="13"/>
      <c r="D50" s="15"/>
      <c r="N50" s="71"/>
      <c r="O50" s="82"/>
      <c r="P50" s="82"/>
      <c r="Q50" s="82"/>
      <c r="R50" s="82"/>
      <c r="S50" s="82"/>
      <c r="T50" s="82"/>
      <c r="U50" s="85"/>
      <c r="V50" s="85"/>
    </row>
    <row r="51" spans="1:22" ht="15" thickBot="1">
      <c r="A51" s="29" t="s">
        <v>26</v>
      </c>
      <c r="B51" s="30"/>
      <c r="C51" s="30"/>
      <c r="D51" s="45" t="s">
        <v>21</v>
      </c>
      <c r="N51" s="7"/>
      <c r="O51" s="82" t="s">
        <v>36</v>
      </c>
      <c r="P51" s="82" t="str">
        <f>P6</f>
        <v>Ware und Fracht</v>
      </c>
      <c r="Q51" s="82">
        <f>S6</f>
        <v>0</v>
      </c>
      <c r="R51" s="82">
        <f>ROW()</f>
        <v>51</v>
      </c>
      <c r="S51" s="82">
        <v>141</v>
      </c>
      <c r="T51" s="82">
        <v>171</v>
      </c>
      <c r="U51" s="85">
        <f>B17</f>
        <v>91.84</v>
      </c>
      <c r="V51" s="85">
        <f>C17</f>
        <v>575.21</v>
      </c>
    </row>
    <row r="52" spans="1:22">
      <c r="A52" s="32" t="s">
        <v>27</v>
      </c>
      <c r="B52" s="33" t="s">
        <v>28</v>
      </c>
      <c r="C52" s="33" t="s">
        <v>29</v>
      </c>
      <c r="D52" s="34" t="s">
        <v>30</v>
      </c>
      <c r="E52" s="34" t="s">
        <v>31</v>
      </c>
      <c r="N52" s="71"/>
      <c r="O52" s="82"/>
      <c r="P52" s="82"/>
      <c r="Q52" s="82"/>
      <c r="R52" s="82"/>
      <c r="S52" s="82">
        <v>301</v>
      </c>
      <c r="T52" s="82"/>
      <c r="U52" s="85">
        <f>E14</f>
        <v>483.37</v>
      </c>
      <c r="V52" s="85"/>
    </row>
    <row r="53" spans="1:22">
      <c r="A53" s="32" t="str">
        <f>B47&amp;"/"&amp;A49</f>
        <v>56/456</v>
      </c>
      <c r="B53" s="35"/>
      <c r="C53" s="35"/>
      <c r="D53" s="36"/>
      <c r="E53" s="36"/>
      <c r="F53" s="3" t="s">
        <v>62</v>
      </c>
      <c r="N53" s="7"/>
      <c r="O53" s="82"/>
      <c r="P53" s="82"/>
      <c r="Q53" s="82"/>
      <c r="R53" s="82"/>
      <c r="S53" s="82">
        <v>302</v>
      </c>
      <c r="T53" s="82"/>
      <c r="U53" s="85">
        <f>F14</f>
        <v>0</v>
      </c>
      <c r="V53" s="85"/>
    </row>
    <row r="54" spans="1:22">
      <c r="A54" s="32"/>
      <c r="B54" s="35"/>
      <c r="C54" s="35"/>
      <c r="D54" s="36"/>
      <c r="E54" s="36"/>
      <c r="F54" s="1" t="str">
        <f ca="1">IF(ISNA(IF(AND(B53=S117,B54=S118,B55=S119,C53=T117,C54=T118,C55=T119),"Konten OK","Konten Falsch"))=TRUE,"",IF(AND(B53=S117,B54=S118,B55=S119,C53=T117,C54=T118,C55=T119),"Konten OK","Konten Falsch"))</f>
        <v>Konten Falsch</v>
      </c>
      <c r="N54" s="7"/>
      <c r="O54" s="82"/>
      <c r="P54" s="82"/>
      <c r="Q54" s="82"/>
      <c r="R54" s="82"/>
      <c r="S54" s="83"/>
      <c r="T54" s="83"/>
      <c r="U54" s="85"/>
      <c r="V54" s="85"/>
    </row>
    <row r="55" spans="1:22">
      <c r="A55" s="32"/>
      <c r="B55" s="35"/>
      <c r="C55" s="35"/>
      <c r="D55" s="36"/>
      <c r="E55" s="36"/>
      <c r="F55" s="1" t="str">
        <f ca="1">IF(ISNA(IF(AND(D53=U117,D54=U118,D55=U119,E53=V117,E54=V118,E55=V119),"Beträge OK","Beträge Falsch"))=TRUE,"",IF(AND(D53=U117,D54=U118,D55=U119,E53=V117,E54=V118,E55=V119),"Beträge OK","Beträge Falsch"))</f>
        <v>Beträge Falsch</v>
      </c>
      <c r="N55" s="72"/>
      <c r="O55" s="82" t="s">
        <v>36</v>
      </c>
      <c r="P55" s="82" t="str">
        <f>P7</f>
        <v>Ware und Paletten</v>
      </c>
      <c r="Q55" s="82">
        <f>S7</f>
        <v>1</v>
      </c>
      <c r="R55" s="82">
        <f>ROW()</f>
        <v>55</v>
      </c>
      <c r="S55" s="83">
        <v>141</v>
      </c>
      <c r="T55" s="83">
        <v>171</v>
      </c>
      <c r="U55" s="85">
        <f>U51</f>
        <v>91.84</v>
      </c>
      <c r="V55" s="85">
        <f>C17</f>
        <v>575.21</v>
      </c>
    </row>
    <row r="56" spans="1:22">
      <c r="B56" s="37" t="str">
        <f>IF(B55&lt;&gt;"",IF(B55&gt;B54,"","Reihenfolge"),"")&amp;IF(B54&lt;&gt;"",IF(B54&gt;B53,"","Reihenfolge"),"")</f>
        <v/>
      </c>
      <c r="C56" s="37" t="str">
        <f>IF(C55&lt;&gt;"",IF(C55&gt;C54,"","Reihenfolge"),"")&amp;IF(C54&lt;&gt;"",IF(C54&gt;C53,"","Reihenfolge"),"")</f>
        <v/>
      </c>
      <c r="N56" s="71"/>
      <c r="O56" s="82"/>
      <c r="P56" s="82"/>
      <c r="Q56" s="82"/>
      <c r="R56" s="82"/>
      <c r="S56" s="83">
        <v>301</v>
      </c>
      <c r="T56" s="83"/>
      <c r="U56" s="85">
        <f>ROUND(G11*(1-B14)*(1-D14),2)</f>
        <v>462.13</v>
      </c>
      <c r="V56" s="85"/>
    </row>
    <row r="57" spans="1:22">
      <c r="A57" s="3" t="str">
        <f>IF(B1="AR","Umsatzsteuerschuld:","absetzbare Vorsteuer")</f>
        <v>absetzbare Vorsteuer</v>
      </c>
      <c r="C57" s="76"/>
      <c r="D57" s="3" t="str">
        <f ca="1">IF(C57=Q31,"OK","Falsch")</f>
        <v>Falsch</v>
      </c>
      <c r="N57" s="75"/>
      <c r="O57" s="82"/>
      <c r="P57" s="82"/>
      <c r="Q57" s="82"/>
      <c r="R57" s="82"/>
      <c r="S57" s="83">
        <v>302</v>
      </c>
      <c r="T57" s="83"/>
      <c r="U57" s="85">
        <f>ROUND(G12*(1-B14)*(1-D14),2)</f>
        <v>21.24</v>
      </c>
      <c r="V57" s="85"/>
    </row>
    <row r="58" spans="1:22">
      <c r="A58" s="3" t="str">
        <f>IF(B1="ER",IF(OR(S5=1,S6=1,S7=1),"Wareneinsatz",IF(S10=1,"Anschaffungskosten:","")),"")</f>
        <v>Wareneinsatz</v>
      </c>
      <c r="C58" s="77"/>
      <c r="D58" s="3" t="str">
        <f ca="1">IF(A58="","",IF(A58="Wareneinsatz",IF(C58=Q32,"OK","Falsch"),IF(C58=Q33,"OK","Falsch")))</f>
        <v>Falsch</v>
      </c>
      <c r="O58" s="82"/>
      <c r="P58" s="82"/>
      <c r="Q58" s="82"/>
      <c r="R58" s="82"/>
      <c r="S58" s="83"/>
      <c r="T58" s="83"/>
      <c r="U58" s="85"/>
      <c r="V58" s="85"/>
    </row>
    <row r="59" spans="1:22">
      <c r="N59" s="46" t="s">
        <v>73</v>
      </c>
      <c r="O59" s="82" t="s">
        <v>36</v>
      </c>
      <c r="P59" s="82" t="str">
        <f>P8</f>
        <v>Warentransport vom  Lief.</v>
      </c>
      <c r="Q59" s="82">
        <f>S8</f>
        <v>0</v>
      </c>
      <c r="R59" s="82">
        <f>ROW()</f>
        <v>59</v>
      </c>
      <c r="S59" s="83">
        <v>141</v>
      </c>
      <c r="T59" s="83">
        <v>171</v>
      </c>
      <c r="U59" s="85">
        <f>B17</f>
        <v>91.84</v>
      </c>
      <c r="V59" s="85">
        <f>C17</f>
        <v>575.21</v>
      </c>
    </row>
    <row r="60" spans="1:22">
      <c r="O60" s="82"/>
      <c r="P60" s="82"/>
      <c r="Q60" s="82"/>
      <c r="R60" s="82"/>
      <c r="S60" s="83">
        <v>302</v>
      </c>
      <c r="T60" s="83"/>
      <c r="U60" s="85">
        <f>A17</f>
        <v>483.37</v>
      </c>
      <c r="V60" s="85"/>
    </row>
    <row r="61" spans="1:22">
      <c r="O61" s="82"/>
      <c r="P61" s="82"/>
      <c r="Q61" s="82"/>
      <c r="R61" s="82"/>
      <c r="S61" s="83"/>
      <c r="T61" s="83"/>
      <c r="U61" s="85"/>
      <c r="V61" s="85"/>
    </row>
    <row r="62" spans="1:22">
      <c r="O62" s="82" t="s">
        <v>36</v>
      </c>
      <c r="P62" s="82" t="str">
        <f>P9</f>
        <v>Warentransport an Kden</v>
      </c>
      <c r="Q62" s="82">
        <f>S9</f>
        <v>0</v>
      </c>
      <c r="R62" s="82">
        <f>ROW()</f>
        <v>62</v>
      </c>
      <c r="S62" s="83">
        <v>141</v>
      </c>
      <c r="T62" s="83">
        <v>171</v>
      </c>
      <c r="U62" s="85">
        <f>U59</f>
        <v>91.84</v>
      </c>
      <c r="V62" s="85">
        <f>V59</f>
        <v>575.21</v>
      </c>
    </row>
    <row r="63" spans="1:22">
      <c r="O63" s="82"/>
      <c r="P63" s="82"/>
      <c r="Q63" s="82"/>
      <c r="R63" s="82"/>
      <c r="S63" s="83">
        <v>462</v>
      </c>
      <c r="T63" s="83"/>
      <c r="U63" s="85">
        <f>U60</f>
        <v>483.37</v>
      </c>
      <c r="V63" s="85"/>
    </row>
    <row r="64" spans="1:22">
      <c r="O64" s="82"/>
      <c r="P64" s="82"/>
      <c r="Q64" s="82"/>
      <c r="R64" s="82"/>
      <c r="S64" s="83"/>
      <c r="T64" s="83"/>
      <c r="U64" s="85"/>
      <c r="V64" s="85"/>
    </row>
    <row r="65" spans="15:22">
      <c r="O65" s="82" t="s">
        <v>36</v>
      </c>
      <c r="P65" s="82" t="str">
        <f>P10</f>
        <v>Anlagegut(hier bsphaft LKW)</v>
      </c>
      <c r="Q65" s="82">
        <f>S10</f>
        <v>0</v>
      </c>
      <c r="R65" s="82">
        <f>ROW()</f>
        <v>65</v>
      </c>
      <c r="S65" s="83">
        <v>34</v>
      </c>
      <c r="T65" s="83">
        <v>171</v>
      </c>
      <c r="U65" s="85">
        <f>A17</f>
        <v>483.37</v>
      </c>
      <c r="V65" s="85">
        <f>C17</f>
        <v>575.21</v>
      </c>
    </row>
    <row r="66" spans="15:22">
      <c r="O66" s="82"/>
      <c r="P66" s="82"/>
      <c r="Q66" s="82"/>
      <c r="R66" s="82"/>
      <c r="S66" s="83">
        <v>141</v>
      </c>
      <c r="T66" s="83"/>
      <c r="U66" s="85">
        <f>B17</f>
        <v>91.84</v>
      </c>
      <c r="V66" s="85"/>
    </row>
    <row r="67" spans="15:22">
      <c r="O67" s="82"/>
      <c r="P67" s="82"/>
      <c r="Q67" s="82"/>
      <c r="R67" s="82"/>
      <c r="S67" s="83"/>
      <c r="T67" s="83"/>
      <c r="U67" s="85"/>
      <c r="V67" s="85"/>
    </row>
    <row r="68" spans="15:22">
      <c r="O68" s="82" t="s">
        <v>36</v>
      </c>
      <c r="P68" s="82" t="str">
        <f>P11</f>
        <v>Transport eines Anlagegutes</v>
      </c>
      <c r="Q68" s="82">
        <f>S11</f>
        <v>0</v>
      </c>
      <c r="R68" s="82">
        <f>ROW()</f>
        <v>68</v>
      </c>
      <c r="S68" s="83">
        <v>34</v>
      </c>
      <c r="T68" s="83">
        <v>171</v>
      </c>
      <c r="U68" s="85">
        <f>U65</f>
        <v>483.37</v>
      </c>
      <c r="V68" s="85">
        <f>V65</f>
        <v>575.21</v>
      </c>
    </row>
    <row r="69" spans="15:22">
      <c r="O69" s="82"/>
      <c r="P69" s="82"/>
      <c r="Q69" s="82"/>
      <c r="R69" s="82"/>
      <c r="S69" s="83">
        <v>141</v>
      </c>
      <c r="T69" s="83"/>
      <c r="U69" s="85">
        <f>U66</f>
        <v>91.84</v>
      </c>
      <c r="V69" s="85"/>
    </row>
    <row r="70" spans="15:22">
      <c r="O70" s="82"/>
      <c r="P70" s="82"/>
      <c r="Q70" s="82"/>
      <c r="R70" s="82"/>
      <c r="S70" s="83"/>
      <c r="T70" s="83"/>
      <c r="U70" s="85"/>
      <c r="V70" s="85"/>
    </row>
    <row r="71" spans="15:22">
      <c r="O71" s="82" t="s">
        <v>36</v>
      </c>
      <c r="P71" s="82" t="str">
        <f>P12</f>
        <v>Aufwand(hier bsphaft Radiergummi)</v>
      </c>
      <c r="Q71" s="82">
        <f>S12</f>
        <v>0</v>
      </c>
      <c r="R71" s="82">
        <f>ROW()</f>
        <v>71</v>
      </c>
      <c r="S71" s="83">
        <v>141</v>
      </c>
      <c r="T71" s="83">
        <v>171</v>
      </c>
      <c r="U71" s="85">
        <f>B17</f>
        <v>91.84</v>
      </c>
      <c r="V71" s="85">
        <f>C17</f>
        <v>575.21</v>
      </c>
    </row>
    <row r="72" spans="15:22">
      <c r="O72" s="82"/>
      <c r="P72" s="82"/>
      <c r="Q72" s="82"/>
      <c r="R72" s="82"/>
      <c r="S72" s="83">
        <v>481</v>
      </c>
      <c r="T72" s="83"/>
      <c r="U72" s="85">
        <f>A17</f>
        <v>483.37</v>
      </c>
      <c r="V72" s="85"/>
    </row>
    <row r="73" spans="15:22">
      <c r="O73" s="82"/>
      <c r="P73" s="82"/>
      <c r="Q73" s="82"/>
      <c r="R73" s="83"/>
      <c r="S73" s="83"/>
      <c r="T73" s="85"/>
      <c r="U73" s="85"/>
      <c r="V73" s="82"/>
    </row>
    <row r="74" spans="15:22">
      <c r="O74" s="82"/>
      <c r="P74" s="82"/>
      <c r="Q74" s="82"/>
      <c r="R74" s="83"/>
      <c r="S74" s="83"/>
      <c r="T74" s="85"/>
      <c r="U74" s="85"/>
      <c r="V74" s="82"/>
    </row>
    <row r="75" spans="15:22">
      <c r="O75" s="82" t="s">
        <v>64</v>
      </c>
      <c r="P75" s="82"/>
      <c r="Q75" s="82"/>
      <c r="R75" s="83"/>
      <c r="S75" s="83">
        <f ca="1">IF(INDIRECT("S"&amp;VLOOKUP(1,Q83:V119,2,0))=0,"",INDIRECT("S"&amp;VLOOKUP(1,Q83:V119,2,0)))</f>
        <v>171</v>
      </c>
      <c r="T75" s="83">
        <f ca="1">IF(INDIRECT("T"&amp;VLOOKUP(1,Q83:V119,2,0))=0,"",INDIRECT("T"&amp;VLOOKUP(1,Q83:V119,2,0)))</f>
        <v>141</v>
      </c>
      <c r="U75" s="82">
        <f ca="1">IF(INDIRECT("U"&amp;VLOOKUP(1,Q83:V119,2,0))=0,"",INDIRECT("U"&amp;VLOOKUP(1,Q83:V119,2,0)))</f>
        <v>25.279999999999998</v>
      </c>
      <c r="V75" s="82">
        <f ca="1">IF(INDIRECT("V"&amp;VLOOKUP(1,Q83:V119,2,0))=0,"",INDIRECT("V"&amp;VLOOKUP(1,Q83:V119,2,0)))</f>
        <v>4.04</v>
      </c>
    </row>
    <row r="76" spans="15:22">
      <c r="O76" s="82"/>
      <c r="P76" s="82"/>
      <c r="Q76" s="82"/>
      <c r="R76" s="83"/>
      <c r="S76" s="82" t="str">
        <f ca="1">IF(INDIRECT("S"&amp;VLOOKUP(1,Q83:V119,2,0)+1)=0,"",INDIRECT("S"&amp;VLOOKUP(1,Q83:V119,2,0)+1))</f>
        <v/>
      </c>
      <c r="T76" s="82">
        <f ca="1">IF(INDIRECT("T"&amp;VLOOKUP(1,Q83:V119,2,0)+1)=0,"",INDIRECT("T"&amp;VLOOKUP(1,Q83:V119,2,0)+1))</f>
        <v>302</v>
      </c>
      <c r="U76" s="82" t="str">
        <f ca="1">IF(INDIRECT("U"&amp;VLOOKUP(1,Q83:V119,2,0)+1)=0,"",INDIRECT("U"&amp;VLOOKUP(1,Q83:V119,2,0)+1))</f>
        <v/>
      </c>
      <c r="V76" s="82">
        <f ca="1">IF(INDIRECT("V"&amp;VLOOKUP(1,Q83:V119,2,0)+1)=0,"",INDIRECT("V"&amp;VLOOKUP(1,Q83:V119,2,0)+1))</f>
        <v>21.24</v>
      </c>
    </row>
    <row r="77" spans="15:22">
      <c r="O77" s="82"/>
      <c r="P77" s="82"/>
      <c r="Q77" s="82"/>
      <c r="R77" s="83"/>
      <c r="S77" s="83"/>
      <c r="T77" s="85"/>
      <c r="U77" s="85"/>
      <c r="V77" s="82"/>
    </row>
    <row r="78" spans="15:22">
      <c r="O78" s="82"/>
      <c r="P78" s="82"/>
      <c r="Q78" s="82"/>
      <c r="R78" s="83"/>
      <c r="S78" s="83"/>
      <c r="T78" s="85"/>
      <c r="U78" s="85"/>
      <c r="V78" s="82"/>
    </row>
    <row r="79" spans="15:22">
      <c r="O79" s="82"/>
      <c r="P79" s="82"/>
      <c r="Q79" s="82"/>
      <c r="R79" s="83"/>
      <c r="S79" s="83"/>
      <c r="T79" s="85"/>
      <c r="U79" s="85"/>
      <c r="V79" s="82"/>
    </row>
    <row r="80" spans="15:22">
      <c r="O80" s="82"/>
      <c r="P80" s="82"/>
      <c r="Q80" s="82"/>
      <c r="R80" s="83"/>
      <c r="S80" s="83"/>
      <c r="T80" s="85"/>
      <c r="U80" s="85"/>
      <c r="V80" s="82"/>
    </row>
    <row r="81" spans="15:22">
      <c r="O81" s="82"/>
      <c r="P81" s="82"/>
      <c r="Q81" s="82"/>
      <c r="R81" s="83"/>
      <c r="S81" s="83"/>
      <c r="T81" s="85"/>
      <c r="U81" s="85"/>
      <c r="V81" s="82"/>
    </row>
    <row r="82" spans="15:22">
      <c r="O82" s="82"/>
      <c r="P82" s="82"/>
      <c r="Q82" s="82"/>
      <c r="R82" s="83"/>
      <c r="S82" s="83"/>
      <c r="T82" s="85"/>
      <c r="U82" s="85"/>
      <c r="V82" s="82"/>
    </row>
    <row r="83" spans="15:22">
      <c r="O83" s="82" t="s">
        <v>35</v>
      </c>
      <c r="P83" s="82" t="str">
        <f>P18</f>
        <v>keine</v>
      </c>
      <c r="Q83" s="82">
        <f>IF($B$1="AR",Q18,0)</f>
        <v>0</v>
      </c>
      <c r="R83" s="82">
        <f>ROW()</f>
        <v>83</v>
      </c>
      <c r="S83" s="83"/>
      <c r="T83" s="85"/>
      <c r="U83" s="85"/>
      <c r="V83" s="82"/>
    </row>
    <row r="84" spans="15:22">
      <c r="O84" s="82"/>
      <c r="P84" s="82"/>
      <c r="Q84" s="82"/>
      <c r="R84" s="83"/>
      <c r="S84" s="83"/>
      <c r="T84" s="85"/>
      <c r="U84" s="85"/>
      <c r="V84" s="82"/>
    </row>
    <row r="85" spans="15:22">
      <c r="O85" s="82"/>
      <c r="P85" s="82"/>
      <c r="Q85" s="82"/>
      <c r="R85" s="83"/>
      <c r="S85" s="83"/>
      <c r="T85" s="85"/>
      <c r="U85" s="85"/>
      <c r="V85" s="82"/>
    </row>
    <row r="86" spans="15:22">
      <c r="O86" s="82" t="s">
        <v>35</v>
      </c>
      <c r="P86" s="82" t="str">
        <f>P19</f>
        <v>Palettenrückgabe</v>
      </c>
      <c r="Q86" s="82">
        <f>IF($B$1="AR",Q19,0)</f>
        <v>0</v>
      </c>
      <c r="R86" s="82">
        <f>ROW()</f>
        <v>86</v>
      </c>
      <c r="S86" s="83">
        <v>181</v>
      </c>
      <c r="T86" s="83">
        <v>101</v>
      </c>
      <c r="U86" s="85">
        <f>B35</f>
        <v>4.04</v>
      </c>
      <c r="V86" s="84">
        <f>C35</f>
        <v>25.279999999999998</v>
      </c>
    </row>
    <row r="87" spans="15:22">
      <c r="O87" s="82"/>
      <c r="P87" s="82" t="s">
        <v>65</v>
      </c>
      <c r="Q87" s="82"/>
      <c r="R87" s="83"/>
      <c r="S87" s="83">
        <f>IF(B40=805,805,801)</f>
        <v>801</v>
      </c>
      <c r="T87" s="83"/>
      <c r="U87" s="85">
        <f>E32</f>
        <v>21.24</v>
      </c>
      <c r="V87" s="82"/>
    </row>
    <row r="88" spans="15:22">
      <c r="O88" s="82"/>
      <c r="P88" s="82"/>
      <c r="Q88" s="82"/>
      <c r="R88" s="83"/>
      <c r="S88" s="83"/>
      <c r="T88" s="83"/>
      <c r="U88" s="85"/>
      <c r="V88" s="82"/>
    </row>
    <row r="89" spans="15:22">
      <c r="O89" s="82" t="s">
        <v>35</v>
      </c>
      <c r="P89" s="82" t="str">
        <f>P20</f>
        <v>Warenrücksendung</v>
      </c>
      <c r="Q89" s="82">
        <f>IF($B$1="AR",Q20,0)</f>
        <v>0</v>
      </c>
      <c r="R89" s="82">
        <f>ROW()</f>
        <v>89</v>
      </c>
      <c r="S89" s="83">
        <v>181</v>
      </c>
      <c r="T89" s="83">
        <v>101</v>
      </c>
      <c r="U89" s="85">
        <f>B35</f>
        <v>4.04</v>
      </c>
      <c r="V89" s="84">
        <f>C35</f>
        <v>25.279999999999998</v>
      </c>
    </row>
    <row r="90" spans="15:22">
      <c r="O90" s="82"/>
      <c r="P90" s="82"/>
      <c r="Q90" s="82"/>
      <c r="R90" s="83"/>
      <c r="S90" s="83">
        <v>805</v>
      </c>
      <c r="T90" s="83"/>
      <c r="U90" s="85">
        <f>A35</f>
        <v>21.24</v>
      </c>
      <c r="V90" s="82"/>
    </row>
    <row r="91" spans="15:22">
      <c r="O91" s="82"/>
      <c r="P91" s="82"/>
      <c r="Q91" s="82"/>
      <c r="R91" s="83"/>
      <c r="S91" s="83"/>
      <c r="T91" s="83"/>
      <c r="U91" s="85"/>
      <c r="V91" s="82"/>
    </row>
    <row r="92" spans="15:22">
      <c r="O92" s="82" t="s">
        <v>35</v>
      </c>
      <c r="P92" s="82" t="str">
        <f>P21</f>
        <v>Warenpreisnachlass</v>
      </c>
      <c r="Q92" s="82">
        <f>IF($B$1="AR",Q21,0)</f>
        <v>0</v>
      </c>
      <c r="R92" s="82">
        <f>ROW()</f>
        <v>92</v>
      </c>
      <c r="S92" s="83">
        <v>181</v>
      </c>
      <c r="T92" s="83">
        <v>101</v>
      </c>
      <c r="U92" s="85">
        <f>U89</f>
        <v>4.04</v>
      </c>
      <c r="V92" s="84">
        <f>V89</f>
        <v>25.279999999999998</v>
      </c>
    </row>
    <row r="93" spans="15:22">
      <c r="O93" s="82"/>
      <c r="P93" s="82"/>
      <c r="Q93" s="82"/>
      <c r="R93" s="83"/>
      <c r="S93" s="83">
        <v>806</v>
      </c>
      <c r="T93" s="83"/>
      <c r="U93" s="85">
        <f>U90</f>
        <v>21.24</v>
      </c>
      <c r="V93" s="82"/>
    </row>
    <row r="94" spans="15:22">
      <c r="O94" s="82"/>
      <c r="P94" s="82"/>
      <c r="Q94" s="82"/>
      <c r="R94" s="83"/>
      <c r="S94" s="83"/>
      <c r="T94" s="83"/>
      <c r="U94" s="85"/>
      <c r="V94" s="82"/>
    </row>
    <row r="95" spans="15:22">
      <c r="O95" s="82" t="s">
        <v>35</v>
      </c>
      <c r="P95" s="82" t="str">
        <f>P22</f>
        <v>Warenbonus</v>
      </c>
      <c r="Q95" s="82">
        <f>IF($B$1="AR",Q22,0)</f>
        <v>0</v>
      </c>
      <c r="R95" s="82">
        <f>ROW()</f>
        <v>95</v>
      </c>
      <c r="S95" s="83">
        <v>181</v>
      </c>
      <c r="T95" s="83">
        <v>101</v>
      </c>
      <c r="U95" s="85">
        <f>U92</f>
        <v>4.04</v>
      </c>
      <c r="V95" s="84">
        <f>V92</f>
        <v>25.279999999999998</v>
      </c>
    </row>
    <row r="96" spans="15:22">
      <c r="O96" s="82"/>
      <c r="P96" s="82"/>
      <c r="Q96" s="82"/>
      <c r="R96" s="83"/>
      <c r="S96" s="83">
        <v>807</v>
      </c>
      <c r="T96" s="83"/>
      <c r="U96" s="85">
        <f>U93</f>
        <v>21.24</v>
      </c>
      <c r="V96" s="82"/>
    </row>
    <row r="97" spans="15:22">
      <c r="O97" s="82"/>
      <c r="P97" s="82"/>
      <c r="Q97" s="82"/>
      <c r="R97" s="83"/>
      <c r="S97" s="83"/>
      <c r="T97" s="83"/>
      <c r="U97" s="85"/>
      <c r="V97" s="82"/>
    </row>
    <row r="98" spans="15:22">
      <c r="O98" s="82" t="s">
        <v>36</v>
      </c>
      <c r="P98" s="82" t="str">
        <f>P18</f>
        <v>keine</v>
      </c>
      <c r="Q98" s="82">
        <f>IF($B$1="ER",Q18,0)</f>
        <v>0</v>
      </c>
      <c r="R98" s="82">
        <f>ROW()</f>
        <v>98</v>
      </c>
      <c r="S98" s="83"/>
      <c r="T98" s="83"/>
      <c r="U98" s="85"/>
      <c r="V98" s="82"/>
    </row>
    <row r="99" spans="15:22">
      <c r="O99" s="82"/>
      <c r="P99" s="82"/>
      <c r="Q99" s="82"/>
      <c r="R99" s="83"/>
      <c r="S99" s="83"/>
      <c r="T99" s="83"/>
      <c r="U99" s="85"/>
      <c r="V99" s="82"/>
    </row>
    <row r="100" spans="15:22">
      <c r="O100" s="82"/>
      <c r="P100" s="82"/>
      <c r="Q100" s="82"/>
      <c r="R100" s="83"/>
      <c r="S100" s="83"/>
      <c r="T100" s="83"/>
      <c r="U100" s="85"/>
      <c r="V100" s="82"/>
    </row>
    <row r="101" spans="15:22">
      <c r="O101" s="82" t="s">
        <v>36</v>
      </c>
      <c r="P101" s="82" t="str">
        <f>P19</f>
        <v>Palettenrückgabe</v>
      </c>
      <c r="Q101" s="82">
        <f>IF($B$1="ER",Q19,0)</f>
        <v>1</v>
      </c>
      <c r="R101" s="82">
        <f>ROW()</f>
        <v>101</v>
      </c>
      <c r="S101" s="83">
        <v>171</v>
      </c>
      <c r="T101" s="83">
        <v>141</v>
      </c>
      <c r="U101" s="85">
        <f>C35</f>
        <v>25.279999999999998</v>
      </c>
      <c r="V101" s="84">
        <f>B35</f>
        <v>4.04</v>
      </c>
    </row>
    <row r="102" spans="15:22">
      <c r="O102" s="82"/>
      <c r="P102" s="82"/>
      <c r="Q102" s="82"/>
      <c r="R102" s="83"/>
      <c r="S102" s="83"/>
      <c r="T102" s="83">
        <v>302</v>
      </c>
      <c r="U102" s="85"/>
      <c r="V102" s="84">
        <f>A35</f>
        <v>21.24</v>
      </c>
    </row>
    <row r="103" spans="15:22">
      <c r="O103" s="82"/>
      <c r="P103" s="82"/>
      <c r="Q103" s="82"/>
      <c r="R103" s="83"/>
      <c r="S103" s="83"/>
      <c r="T103" s="83"/>
      <c r="U103" s="85"/>
      <c r="V103" s="82"/>
    </row>
    <row r="104" spans="15:22">
      <c r="O104" s="82" t="s">
        <v>36</v>
      </c>
      <c r="P104" s="82" t="str">
        <f>P20</f>
        <v>Warenrücksendung</v>
      </c>
      <c r="Q104" s="82">
        <f>IF($B$1="ER",Q20,0)</f>
        <v>0</v>
      </c>
      <c r="R104" s="82">
        <f>ROW()</f>
        <v>104</v>
      </c>
      <c r="S104" s="83">
        <v>171</v>
      </c>
      <c r="T104" s="83">
        <v>141</v>
      </c>
      <c r="U104" s="85">
        <f>C35</f>
        <v>25.279999999999998</v>
      </c>
      <c r="V104" s="84">
        <f>V101</f>
        <v>4.04</v>
      </c>
    </row>
    <row r="105" spans="15:22">
      <c r="O105" s="82"/>
      <c r="P105" s="82"/>
      <c r="Q105" s="82"/>
      <c r="R105" s="83"/>
      <c r="S105" s="83"/>
      <c r="T105" s="83">
        <v>305</v>
      </c>
      <c r="U105" s="85"/>
      <c r="V105" s="84">
        <f>V102</f>
        <v>21.24</v>
      </c>
    </row>
    <row r="106" spans="15:22">
      <c r="O106" s="82"/>
      <c r="P106" s="82"/>
      <c r="Q106" s="82"/>
      <c r="R106" s="83"/>
      <c r="S106" s="83"/>
      <c r="T106" s="83"/>
      <c r="U106" s="85"/>
      <c r="V106" s="82"/>
    </row>
    <row r="107" spans="15:22">
      <c r="O107" s="82" t="s">
        <v>36</v>
      </c>
      <c r="P107" s="82" t="str">
        <f>P21</f>
        <v>Warenpreisnachlass</v>
      </c>
      <c r="Q107" s="82">
        <f>IF($B$1="ER",Q21,0)</f>
        <v>0</v>
      </c>
      <c r="R107" s="82">
        <f>ROW()</f>
        <v>107</v>
      </c>
      <c r="S107" s="83">
        <v>171</v>
      </c>
      <c r="T107" s="83">
        <v>141</v>
      </c>
      <c r="U107" s="85">
        <f>U104</f>
        <v>25.279999999999998</v>
      </c>
      <c r="V107" s="84">
        <f>V104</f>
        <v>4.04</v>
      </c>
    </row>
    <row r="108" spans="15:22">
      <c r="O108" s="82"/>
      <c r="P108" s="82"/>
      <c r="Q108" s="82"/>
      <c r="R108" s="83"/>
      <c r="S108" s="83"/>
      <c r="T108" s="83">
        <v>306</v>
      </c>
      <c r="U108" s="85"/>
      <c r="V108" s="84">
        <f>V105</f>
        <v>21.24</v>
      </c>
    </row>
    <row r="109" spans="15:22">
      <c r="O109" s="82"/>
      <c r="P109" s="82"/>
      <c r="Q109" s="82"/>
      <c r="R109" s="83"/>
      <c r="S109" s="83"/>
      <c r="T109" s="83"/>
      <c r="U109" s="85"/>
      <c r="V109" s="82"/>
    </row>
    <row r="110" spans="15:22">
      <c r="O110" s="82" t="s">
        <v>36</v>
      </c>
      <c r="P110" s="82" t="str">
        <f>P22</f>
        <v>Warenbonus</v>
      </c>
      <c r="Q110" s="82">
        <f>IF($B$1="ER",Q22,0)</f>
        <v>0</v>
      </c>
      <c r="R110" s="82">
        <f>ROW()</f>
        <v>110</v>
      </c>
      <c r="S110" s="83">
        <v>171</v>
      </c>
      <c r="T110" s="83">
        <v>141</v>
      </c>
      <c r="U110" s="85">
        <f>U107</f>
        <v>25.279999999999998</v>
      </c>
      <c r="V110" s="84">
        <f>V107</f>
        <v>4.04</v>
      </c>
    </row>
    <row r="111" spans="15:22">
      <c r="O111" s="82"/>
      <c r="P111" s="82"/>
      <c r="Q111" s="82"/>
      <c r="R111" s="83"/>
      <c r="S111" s="83"/>
      <c r="T111" s="83">
        <v>307</v>
      </c>
      <c r="U111" s="85"/>
      <c r="V111" s="84">
        <f>V108</f>
        <v>21.24</v>
      </c>
    </row>
    <row r="112" spans="15:22">
      <c r="O112" s="82"/>
      <c r="P112" s="82"/>
      <c r="Q112" s="82"/>
      <c r="R112" s="83"/>
      <c r="S112" s="83"/>
      <c r="T112" s="83"/>
      <c r="U112" s="85"/>
      <c r="V112" s="82"/>
    </row>
    <row r="113" spans="15:22">
      <c r="O113" s="82" t="s">
        <v>36</v>
      </c>
      <c r="P113" s="82" t="str">
        <f>P23</f>
        <v>Anlagegutpreisnachlass</v>
      </c>
      <c r="Q113" s="82">
        <f>IF($B$1="ER",Q23,0)</f>
        <v>0</v>
      </c>
      <c r="R113" s="82">
        <f>ROW()</f>
        <v>113</v>
      </c>
      <c r="S113" s="83">
        <v>171</v>
      </c>
      <c r="T113" s="83">
        <v>34</v>
      </c>
      <c r="U113" s="85">
        <f>C35</f>
        <v>25.279999999999998</v>
      </c>
      <c r="V113" s="84">
        <f>A35</f>
        <v>21.24</v>
      </c>
    </row>
    <row r="114" spans="15:22">
      <c r="O114" s="82"/>
      <c r="P114" s="82"/>
      <c r="Q114" s="82"/>
      <c r="R114" s="83"/>
      <c r="S114" s="83"/>
      <c r="T114" s="83">
        <v>141</v>
      </c>
      <c r="U114" s="85"/>
      <c r="V114" s="84">
        <f>B35</f>
        <v>4.04</v>
      </c>
    </row>
    <row r="115" spans="15:22">
      <c r="O115" s="82"/>
      <c r="P115" s="82"/>
      <c r="Q115" s="82"/>
      <c r="R115" s="83"/>
      <c r="S115" s="83"/>
      <c r="T115" s="83"/>
      <c r="U115" s="85"/>
      <c r="V115" s="82"/>
    </row>
    <row r="116" spans="15:22">
      <c r="O116" s="82"/>
      <c r="P116" s="82"/>
      <c r="Q116" s="82"/>
      <c r="R116" s="83"/>
      <c r="S116" s="83"/>
      <c r="T116" s="83"/>
      <c r="U116" s="85"/>
      <c r="V116" s="82"/>
    </row>
    <row r="117" spans="15:22">
      <c r="O117" s="82" t="s">
        <v>67</v>
      </c>
      <c r="P117" s="82"/>
      <c r="Q117" s="82"/>
      <c r="R117" s="83"/>
      <c r="S117" s="83">
        <f ca="1">IF(INDIRECT("S"&amp;VLOOKUP(1,Q125:V161,2,0))=0,"",INDIRECT("S"&amp;VLOOKUP(1,Q125:V161,2,0)))</f>
        <v>171</v>
      </c>
      <c r="T117" s="83">
        <f ca="1">IF(INDIRECT("T"&amp;VLOOKUP(1,Q125:V161,2,0))=0,"",INDIRECT("T"&amp;VLOOKUP(1,Q125:V161,2,0)))</f>
        <v>131</v>
      </c>
      <c r="U117" s="85">
        <f ca="1">IF(INDIRECT("U"&amp;VLOOKUP(1,Q125:V161,2,0))=0,"",INDIRECT("U"&amp;VLOOKUP(1,Q125:V161,2,0)))</f>
        <v>549.93000000000006</v>
      </c>
      <c r="V117" s="85">
        <f ca="1">IF(INDIRECT("V"&amp;VLOOKUP(1,Q125:V161,2,0))=0,"",INDIRECT("V"&amp;VLOOKUP(1,Q125:V161,2,0)))</f>
        <v>527.92999999999995</v>
      </c>
    </row>
    <row r="118" spans="15:22">
      <c r="O118" s="82"/>
      <c r="P118" s="82"/>
      <c r="Q118" s="82"/>
      <c r="R118" s="83"/>
      <c r="S118" s="82" t="str">
        <f ca="1">IF(INDIRECT("S"&amp;VLOOKUP(1,Q125:V161,2,0)+1)=0,"",INDIRECT("S"&amp;VLOOKUP(1,Q125:V161,2,0)+1))</f>
        <v/>
      </c>
      <c r="T118" s="82">
        <f ca="1">IF(INDIRECT("T"&amp;VLOOKUP(1,Q125:V161,2,0)+1)=0,"",INDIRECT("T"&amp;VLOOKUP(1,Q125:V161,2,0)+1))</f>
        <v>141</v>
      </c>
      <c r="U118" s="85" t="str">
        <f ca="1">IF(INDIRECT("U"&amp;VLOOKUP(1,Q125:V161,2,0)+1)=0,"",INDIRECT("U"&amp;VLOOKUP(1,Q125:V161,2,0)+1))</f>
        <v/>
      </c>
      <c r="V118" s="85">
        <f ca="1">IF(INDIRECT("V"&amp;VLOOKUP(1,Q125:V161,2,0)+1)=0,"",INDIRECT("V"&amp;VLOOKUP(1,Q125:V161,2,0)+1))</f>
        <v>3.51</v>
      </c>
    </row>
    <row r="119" spans="15:22">
      <c r="O119" s="82"/>
      <c r="P119" s="82"/>
      <c r="Q119" s="82"/>
      <c r="R119" s="83"/>
      <c r="S119" s="82" t="str">
        <f ca="1">IF(INDIRECT("S"&amp;VLOOKUP(1,Q125:V161,2,0)+2)=0,"",INDIRECT("S"&amp;VLOOKUP(1,Q125:V161,2,0)+2))</f>
        <v/>
      </c>
      <c r="T119" s="82">
        <f ca="1">IF(INDIRECT("T"&amp;VLOOKUP(1,Q125:V161,2,0)+2)=0,"",INDIRECT("T"&amp;VLOOKUP(1,Q125:V161,2,0)+2))</f>
        <v>308</v>
      </c>
      <c r="U119" s="85" t="str">
        <f ca="1">IF(INDIRECT("U"&amp;VLOOKUP(1,Q125:V161,2,0)+2)=0,"",INDIRECT("U"&amp;VLOOKUP(1,Q125:V161,2,0)+2))</f>
        <v/>
      </c>
      <c r="V119" s="85">
        <f ca="1">IF(INDIRECT("V"&amp;VLOOKUP(1,Q125:V161,2,0)+2)=0,"",INDIRECT("V"&amp;VLOOKUP(1,Q125:V161,2,0)+2))</f>
        <v>18.489999999999998</v>
      </c>
    </row>
    <row r="120" spans="15:22">
      <c r="O120" s="82"/>
      <c r="P120" s="82"/>
      <c r="Q120" s="82"/>
      <c r="R120" s="83"/>
      <c r="S120" s="83"/>
      <c r="T120" s="83"/>
      <c r="U120" s="85"/>
      <c r="V120" s="85"/>
    </row>
    <row r="121" spans="15:22">
      <c r="O121" s="82"/>
      <c r="P121" s="82"/>
      <c r="Q121" s="82"/>
      <c r="R121" s="83"/>
      <c r="S121" s="83"/>
      <c r="T121" s="83"/>
      <c r="U121" s="85"/>
      <c r="V121" s="85"/>
    </row>
    <row r="122" spans="15:22">
      <c r="O122" s="82"/>
      <c r="P122" s="82"/>
      <c r="Q122" s="82"/>
      <c r="R122" s="82"/>
      <c r="S122" s="82"/>
      <c r="T122" s="83"/>
      <c r="U122" s="85"/>
      <c r="V122" s="85"/>
    </row>
    <row r="123" spans="15:22">
      <c r="O123" s="82"/>
      <c r="P123" s="82"/>
      <c r="Q123" s="82"/>
      <c r="R123" s="82"/>
      <c r="S123" s="82"/>
      <c r="T123" s="83"/>
      <c r="U123" s="85"/>
      <c r="V123" s="85"/>
    </row>
    <row r="124" spans="15:22">
      <c r="O124" s="82"/>
      <c r="P124" s="82"/>
      <c r="Q124" s="82"/>
      <c r="R124" s="82"/>
      <c r="S124" s="82"/>
      <c r="T124" s="83"/>
      <c r="U124" s="85"/>
      <c r="V124" s="85"/>
    </row>
    <row r="125" spans="15:22">
      <c r="O125" s="82" t="s">
        <v>35</v>
      </c>
      <c r="P125" s="82"/>
      <c r="Q125" s="82">
        <f>IF(AND($B$1="AR",Q26=1),1,0)</f>
        <v>0</v>
      </c>
      <c r="R125" s="82">
        <f>ROW()</f>
        <v>125</v>
      </c>
      <c r="S125" s="82">
        <v>131</v>
      </c>
      <c r="T125" s="83">
        <v>101</v>
      </c>
      <c r="U125" s="85">
        <f>D49</f>
        <v>0</v>
      </c>
      <c r="V125" s="85">
        <f>C17-C35</f>
        <v>549.93000000000006</v>
      </c>
    </row>
    <row r="126" spans="15:22">
      <c r="O126" s="82"/>
      <c r="P126" s="82"/>
      <c r="Q126" s="82"/>
      <c r="R126" s="82"/>
      <c r="S126" s="82">
        <v>181</v>
      </c>
      <c r="T126" s="83"/>
      <c r="U126" s="85">
        <f>ROUND((V125-U125)/(1+B16)*B16,2)</f>
        <v>87.8</v>
      </c>
      <c r="V126" s="85"/>
    </row>
    <row r="127" spans="15:22">
      <c r="O127" s="82"/>
      <c r="P127" s="82"/>
      <c r="Q127" s="82"/>
      <c r="R127" s="82"/>
      <c r="S127" s="82">
        <v>808</v>
      </c>
      <c r="T127" s="83"/>
      <c r="U127" s="85">
        <f>ROUND((V125-U125)/(1+B16),2)</f>
        <v>462.13</v>
      </c>
      <c r="V127" s="85"/>
    </row>
    <row r="128" spans="15:22">
      <c r="O128" s="82" t="s">
        <v>35</v>
      </c>
      <c r="P128" s="82"/>
      <c r="Q128" s="82">
        <f>IF(AND($B$1="AR",Q25=1),1,0)</f>
        <v>0</v>
      </c>
      <c r="R128" s="82">
        <f>ROW()</f>
        <v>128</v>
      </c>
      <c r="S128" s="82">
        <v>131</v>
      </c>
      <c r="T128" s="83">
        <v>101</v>
      </c>
      <c r="U128" s="85">
        <f>V125</f>
        <v>549.93000000000006</v>
      </c>
      <c r="V128" s="85">
        <f>U128</f>
        <v>549.93000000000006</v>
      </c>
    </row>
    <row r="129" spans="15:22">
      <c r="O129" s="82"/>
      <c r="P129" s="82"/>
      <c r="Q129" s="82"/>
      <c r="R129" s="82"/>
      <c r="S129" s="82"/>
      <c r="T129" s="82"/>
      <c r="U129" s="85"/>
      <c r="V129" s="85"/>
    </row>
    <row r="130" spans="15:22">
      <c r="O130" s="82"/>
      <c r="P130" s="82"/>
      <c r="Q130" s="82"/>
      <c r="R130" s="82"/>
      <c r="S130" s="82"/>
      <c r="T130" s="83"/>
      <c r="U130" s="85"/>
      <c r="V130" s="85"/>
    </row>
    <row r="131" spans="15:22">
      <c r="O131" s="82" t="s">
        <v>36</v>
      </c>
      <c r="P131" s="82">
        <f>IF(AND($A$5&gt;"A",$B$5="skonto",S10=0),1,0)</f>
        <v>1</v>
      </c>
      <c r="Q131" s="82">
        <f>IF(AND($B$1="ER",Q26=1,P131=1),1,0)</f>
        <v>1</v>
      </c>
      <c r="R131" s="82">
        <f>ROW()</f>
        <v>131</v>
      </c>
      <c r="S131" s="82">
        <v>171</v>
      </c>
      <c r="T131" s="83">
        <v>131</v>
      </c>
      <c r="U131" s="85">
        <f>C17-C35</f>
        <v>549.93000000000006</v>
      </c>
      <c r="V131" s="85">
        <f>C49</f>
        <v>527.92999999999995</v>
      </c>
    </row>
    <row r="132" spans="15:22">
      <c r="O132" s="82"/>
      <c r="P132" s="82"/>
      <c r="Q132" s="82"/>
      <c r="R132" s="82"/>
      <c r="S132" s="82"/>
      <c r="T132" s="83">
        <v>141</v>
      </c>
      <c r="U132" s="82"/>
      <c r="V132" s="85">
        <f>ROUND((U131-V131)/(1+B16)*B16,2)</f>
        <v>3.51</v>
      </c>
    </row>
    <row r="133" spans="15:22">
      <c r="O133" s="82"/>
      <c r="P133" s="82"/>
      <c r="Q133" s="82"/>
      <c r="R133" s="82"/>
      <c r="S133" s="82"/>
      <c r="T133" s="83">
        <v>308</v>
      </c>
      <c r="U133" s="82"/>
      <c r="V133" s="85">
        <f>ROUND((U131-V131)/(1+B16),2)</f>
        <v>18.489999999999998</v>
      </c>
    </row>
    <row r="134" spans="15:22">
      <c r="O134" s="82" t="s">
        <v>36</v>
      </c>
      <c r="P134" s="82">
        <f>IF(AND($A$5&gt;"A",$B$5="skonto",S10=1),1,0)</f>
        <v>0</v>
      </c>
      <c r="Q134" s="82">
        <f>IF(AND($B$1="ER",Q26=1,P134=1),1,0)</f>
        <v>0</v>
      </c>
      <c r="R134" s="82">
        <f>ROW()</f>
        <v>134</v>
      </c>
      <c r="S134" s="82">
        <v>171</v>
      </c>
      <c r="T134" s="83">
        <v>34</v>
      </c>
      <c r="U134" s="85">
        <f>C17-C35</f>
        <v>549.93000000000006</v>
      </c>
      <c r="V134" s="85">
        <f>ROUND((U134-V135)/(1+B16),2)</f>
        <v>18.489999999999998</v>
      </c>
    </row>
    <row r="135" spans="15:22">
      <c r="O135" s="82"/>
      <c r="P135" s="82"/>
      <c r="Q135" s="82"/>
      <c r="R135" s="82"/>
      <c r="S135" s="82"/>
      <c r="T135" s="83">
        <v>131</v>
      </c>
      <c r="U135" s="85"/>
      <c r="V135" s="85">
        <f>C49</f>
        <v>527.92999999999995</v>
      </c>
    </row>
    <row r="136" spans="15:22">
      <c r="O136" s="82"/>
      <c r="P136" s="82"/>
      <c r="Q136" s="82"/>
      <c r="R136" s="82"/>
      <c r="S136" s="82"/>
      <c r="T136" s="83">
        <v>141</v>
      </c>
      <c r="U136" s="85"/>
      <c r="V136" s="85">
        <f>ROUND((U134-V135)/(1+B16)*B16,2)</f>
        <v>3.51</v>
      </c>
    </row>
    <row r="137" spans="15:22">
      <c r="O137" s="82" t="s">
        <v>36</v>
      </c>
      <c r="P137" s="82"/>
      <c r="Q137" s="82">
        <f>IF(AND(Q131=0,Q134=0),1,0)</f>
        <v>0</v>
      </c>
      <c r="R137" s="82">
        <f>ROW()</f>
        <v>137</v>
      </c>
      <c r="S137" s="82">
        <v>171</v>
      </c>
      <c r="T137" s="83">
        <v>131</v>
      </c>
      <c r="U137" s="85">
        <f>C17-C35</f>
        <v>549.93000000000006</v>
      </c>
      <c r="V137" s="85">
        <f>U137</f>
        <v>549.93000000000006</v>
      </c>
    </row>
    <row r="138" spans="15:22">
      <c r="O138" s="82"/>
      <c r="P138" s="82"/>
      <c r="Q138" s="82"/>
      <c r="R138" s="82"/>
      <c r="S138" s="82"/>
      <c r="T138" s="83"/>
      <c r="U138" s="85"/>
      <c r="V138" s="82"/>
    </row>
    <row r="139" spans="15:22">
      <c r="O139" s="82"/>
      <c r="P139" s="82"/>
      <c r="Q139" s="82"/>
      <c r="R139" s="82"/>
      <c r="S139" s="82"/>
      <c r="T139" s="83"/>
      <c r="U139" s="85"/>
      <c r="V139" s="82"/>
    </row>
    <row r="140" spans="15:22">
      <c r="T140" s="38"/>
      <c r="U140" s="38"/>
    </row>
    <row r="141" spans="15:22">
      <c r="T141" s="38"/>
      <c r="U141" s="38"/>
    </row>
    <row r="142" spans="15:22">
      <c r="T142" s="38"/>
      <c r="U142" s="38"/>
    </row>
    <row r="143" spans="15:22">
      <c r="T143" s="38"/>
      <c r="U143" s="38"/>
    </row>
    <row r="144" spans="15:22">
      <c r="T144" s="38"/>
      <c r="U144" s="38"/>
    </row>
    <row r="145" spans="20:21">
      <c r="T145" s="38"/>
      <c r="U145" s="38"/>
    </row>
    <row r="146" spans="20:21">
      <c r="T146" s="38"/>
      <c r="U146" s="38"/>
    </row>
    <row r="147" spans="20:21">
      <c r="T147" s="38"/>
      <c r="U147" s="38"/>
    </row>
    <row r="148" spans="20:21">
      <c r="T148" s="38"/>
      <c r="U148" s="38"/>
    </row>
    <row r="149" spans="20:21">
      <c r="T149" s="38"/>
      <c r="U149" s="38"/>
    </row>
    <row r="150" spans="20:21">
      <c r="T150" s="38"/>
      <c r="U150" s="38"/>
    </row>
    <row r="151" spans="20:21">
      <c r="T151" s="38"/>
      <c r="U151" s="38"/>
    </row>
    <row r="152" spans="20:21">
      <c r="T152" s="38"/>
      <c r="U152" s="38"/>
    </row>
    <row r="153" spans="20:21">
      <c r="T153" s="38"/>
      <c r="U153" s="38"/>
    </row>
    <row r="154" spans="20:21">
      <c r="T154" s="38"/>
      <c r="U154" s="38"/>
    </row>
    <row r="155" spans="20:21">
      <c r="T155" s="38"/>
      <c r="U155" s="38"/>
    </row>
    <row r="156" spans="20:21">
      <c r="T156" s="38"/>
      <c r="U156" s="38"/>
    </row>
    <row r="157" spans="20:21">
      <c r="T157" s="38"/>
      <c r="U157" s="38"/>
    </row>
    <row r="158" spans="20:21">
      <c r="T158" s="38"/>
      <c r="U158" s="38"/>
    </row>
    <row r="159" spans="20:21">
      <c r="T159" s="38"/>
      <c r="U159" s="38"/>
    </row>
    <row r="160" spans="20:21">
      <c r="T160" s="38"/>
      <c r="U160" s="38"/>
    </row>
    <row r="161" spans="20:21">
      <c r="T161" s="38"/>
      <c r="U161" s="38"/>
    </row>
    <row r="162" spans="20:21">
      <c r="T162" s="38"/>
      <c r="U162" s="38"/>
    </row>
    <row r="163" spans="20:21">
      <c r="T163" s="38"/>
      <c r="U163" s="38"/>
    </row>
    <row r="164" spans="20:21">
      <c r="T164" s="38"/>
      <c r="U164" s="38"/>
    </row>
    <row r="165" spans="20:21">
      <c r="T165" s="38"/>
      <c r="U165" s="38"/>
    </row>
    <row r="166" spans="20:21">
      <c r="T166" s="38"/>
      <c r="U166" s="38"/>
    </row>
    <row r="167" spans="20:21">
      <c r="T167" s="38"/>
      <c r="U167" s="38"/>
    </row>
    <row r="168" spans="20:21">
      <c r="T168" s="38"/>
      <c r="U168" s="38"/>
    </row>
    <row r="169" spans="20:21">
      <c r="T169" s="38"/>
      <c r="U169" s="38"/>
    </row>
    <row r="170" spans="20:21">
      <c r="T170" s="38"/>
      <c r="U170" s="38"/>
    </row>
    <row r="171" spans="20:21">
      <c r="T171" s="38"/>
      <c r="U171" s="38"/>
    </row>
    <row r="172" spans="20:21">
      <c r="T172" s="38"/>
      <c r="U172" s="38"/>
    </row>
    <row r="173" spans="20:21">
      <c r="T173" s="38"/>
      <c r="U173" s="38"/>
    </row>
    <row r="174" spans="20:21">
      <c r="T174" s="38"/>
      <c r="U174" s="38"/>
    </row>
    <row r="175" spans="20:21">
      <c r="T175" s="38"/>
      <c r="U175" s="38"/>
    </row>
    <row r="176" spans="20:21">
      <c r="T176" s="38"/>
      <c r="U176" s="38"/>
    </row>
    <row r="177" spans="20:21">
      <c r="T177" s="38"/>
      <c r="U177" s="38"/>
    </row>
    <row r="178" spans="20:21">
      <c r="T178" s="38"/>
      <c r="U178" s="38"/>
    </row>
    <row r="179" spans="20:21">
      <c r="T179" s="38"/>
      <c r="U179" s="38"/>
    </row>
    <row r="180" spans="20:21">
      <c r="T180" s="38"/>
      <c r="U180" s="38"/>
    </row>
    <row r="181" spans="20:21">
      <c r="T181" s="38"/>
      <c r="U181" s="38"/>
    </row>
    <row r="182" spans="20:21">
      <c r="T182" s="38"/>
      <c r="U182" s="38"/>
    </row>
    <row r="183" spans="20:21">
      <c r="T183" s="38"/>
      <c r="U183" s="38"/>
    </row>
    <row r="184" spans="20:21">
      <c r="T184" s="38"/>
      <c r="U184" s="38"/>
    </row>
    <row r="185" spans="20:21">
      <c r="T185" s="38"/>
      <c r="U185" s="38"/>
    </row>
    <row r="186" spans="20:21">
      <c r="T186" s="38"/>
      <c r="U186" s="38"/>
    </row>
    <row r="187" spans="20:21">
      <c r="T187" s="38"/>
      <c r="U187" s="38"/>
    </row>
    <row r="188" spans="20:21">
      <c r="T188" s="38"/>
      <c r="U188" s="38"/>
    </row>
    <row r="189" spans="20:21">
      <c r="T189" s="38"/>
      <c r="U189" s="38"/>
    </row>
    <row r="190" spans="20:21">
      <c r="T190" s="38"/>
      <c r="U190" s="38"/>
    </row>
    <row r="191" spans="20:21">
      <c r="T191" s="38"/>
      <c r="U191" s="38"/>
    </row>
    <row r="192" spans="20:21">
      <c r="T192" s="38"/>
      <c r="U192" s="38"/>
    </row>
    <row r="193" spans="20:21">
      <c r="T193" s="38"/>
      <c r="U193" s="38"/>
    </row>
    <row r="194" spans="20:21">
      <c r="T194" s="38"/>
      <c r="U194" s="38"/>
    </row>
    <row r="195" spans="20:21">
      <c r="T195" s="38"/>
      <c r="U195" s="38"/>
    </row>
    <row r="196" spans="20:21">
      <c r="T196" s="38"/>
      <c r="U196" s="38"/>
    </row>
    <row r="197" spans="20:21">
      <c r="T197" s="38"/>
      <c r="U197" s="38"/>
    </row>
    <row r="198" spans="20:21">
      <c r="T198" s="38"/>
      <c r="U198" s="38"/>
    </row>
    <row r="199" spans="20:21">
      <c r="T199" s="38"/>
      <c r="U199" s="38"/>
    </row>
    <row r="200" spans="20:21">
      <c r="T200" s="38"/>
      <c r="U200" s="38"/>
    </row>
    <row r="201" spans="20:21">
      <c r="T201" s="38"/>
      <c r="U201" s="38"/>
    </row>
    <row r="202" spans="20:21">
      <c r="T202" s="38"/>
      <c r="U202" s="38"/>
    </row>
    <row r="203" spans="20:21">
      <c r="T203" s="38"/>
      <c r="U203" s="38"/>
    </row>
    <row r="204" spans="20:21">
      <c r="T204" s="38"/>
      <c r="U204" s="38"/>
    </row>
    <row r="205" spans="20:21">
      <c r="T205" s="38"/>
      <c r="U205" s="38"/>
    </row>
    <row r="206" spans="20:21">
      <c r="T206" s="38"/>
      <c r="U206" s="38"/>
    </row>
    <row r="207" spans="20:21">
      <c r="T207" s="38"/>
      <c r="U207" s="38"/>
    </row>
    <row r="208" spans="20:21">
      <c r="T208" s="38"/>
      <c r="U208" s="38"/>
    </row>
    <row r="209" spans="20:21">
      <c r="T209" s="38"/>
      <c r="U209" s="38"/>
    </row>
    <row r="210" spans="20:21">
      <c r="T210" s="38"/>
      <c r="U210" s="38"/>
    </row>
    <row r="211" spans="20:21">
      <c r="T211" s="38"/>
      <c r="U211" s="38"/>
    </row>
    <row r="212" spans="20:21">
      <c r="T212" s="38"/>
      <c r="U212" s="38"/>
    </row>
    <row r="213" spans="20:21">
      <c r="T213" s="38"/>
      <c r="U213" s="38"/>
    </row>
    <row r="214" spans="20:21">
      <c r="T214" s="38"/>
      <c r="U214" s="38"/>
    </row>
    <row r="215" spans="20:21">
      <c r="T215" s="38"/>
      <c r="U215" s="38"/>
    </row>
    <row r="216" spans="20:21">
      <c r="T216" s="38"/>
      <c r="U216" s="38"/>
    </row>
    <row r="217" spans="20:21">
      <c r="T217" s="38"/>
      <c r="U217" s="38"/>
    </row>
    <row r="218" spans="20:21">
      <c r="T218" s="38"/>
      <c r="U218" s="38"/>
    </row>
    <row r="219" spans="20:21">
      <c r="T219" s="38"/>
      <c r="U219" s="38"/>
    </row>
    <row r="220" spans="20:21">
      <c r="T220" s="38"/>
      <c r="U220" s="38"/>
    </row>
    <row r="221" spans="20:21">
      <c r="T221" s="38"/>
      <c r="U221" s="38"/>
    </row>
    <row r="222" spans="20:21">
      <c r="T222" s="38"/>
      <c r="U222" s="38"/>
    </row>
    <row r="223" spans="20:21">
      <c r="T223" s="38"/>
      <c r="U223" s="38"/>
    </row>
    <row r="224" spans="20:21">
      <c r="T224" s="38"/>
      <c r="U224" s="38"/>
    </row>
    <row r="225" spans="20:21">
      <c r="T225" s="38"/>
      <c r="U225" s="38"/>
    </row>
    <row r="226" spans="20:21">
      <c r="T226" s="38"/>
      <c r="U226" s="38"/>
    </row>
    <row r="227" spans="20:21">
      <c r="T227" s="38"/>
      <c r="U227" s="38"/>
    </row>
    <row r="228" spans="20:21">
      <c r="T228" s="38"/>
      <c r="U228" s="38"/>
    </row>
    <row r="229" spans="20:21">
      <c r="T229" s="38"/>
      <c r="U229" s="38"/>
    </row>
    <row r="230" spans="20:21">
      <c r="T230" s="38"/>
      <c r="U230" s="38"/>
    </row>
    <row r="231" spans="20:21">
      <c r="T231" s="38"/>
      <c r="U231" s="38"/>
    </row>
    <row r="232" spans="20:21">
      <c r="T232" s="38"/>
      <c r="U232" s="38"/>
    </row>
    <row r="233" spans="20:21">
      <c r="T233" s="38"/>
      <c r="U233" s="38"/>
    </row>
    <row r="234" spans="20:21">
      <c r="T234" s="38"/>
      <c r="U234" s="38"/>
    </row>
    <row r="235" spans="20:21">
      <c r="T235" s="38"/>
      <c r="U235" s="38"/>
    </row>
    <row r="236" spans="20:21">
      <c r="T236" s="38"/>
      <c r="U236" s="38"/>
    </row>
    <row r="237" spans="20:21">
      <c r="T237" s="38"/>
      <c r="U237" s="38"/>
    </row>
    <row r="238" spans="20:21">
      <c r="T238" s="38"/>
      <c r="U238" s="38"/>
    </row>
    <row r="239" spans="20:21">
      <c r="T239" s="38"/>
      <c r="U239" s="38"/>
    </row>
    <row r="240" spans="20:21">
      <c r="T240" s="38"/>
      <c r="U240" s="38"/>
    </row>
    <row r="241" spans="20:21">
      <c r="T241" s="38"/>
      <c r="U241" s="38"/>
    </row>
    <row r="242" spans="20:21">
      <c r="T242" s="38"/>
      <c r="U242" s="38"/>
    </row>
    <row r="243" spans="20:21">
      <c r="T243" s="38"/>
      <c r="U243" s="38"/>
    </row>
    <row r="244" spans="20:21">
      <c r="T244" s="38"/>
      <c r="U244" s="38"/>
    </row>
    <row r="245" spans="20:21">
      <c r="T245" s="38"/>
      <c r="U245" s="38"/>
    </row>
    <row r="246" spans="20:21">
      <c r="T246" s="38"/>
      <c r="U246" s="38"/>
    </row>
    <row r="247" spans="20:21">
      <c r="T247" s="38"/>
      <c r="U247" s="38"/>
    </row>
    <row r="248" spans="20:21">
      <c r="T248" s="38"/>
      <c r="U248" s="38"/>
    </row>
    <row r="249" spans="20:21">
      <c r="T249" s="38"/>
      <c r="U249" s="38"/>
    </row>
    <row r="250" spans="20:21">
      <c r="T250" s="38"/>
      <c r="U250" s="38"/>
    </row>
    <row r="251" spans="20:21">
      <c r="T251" s="38"/>
      <c r="U251" s="38"/>
    </row>
    <row r="252" spans="20:21">
      <c r="T252" s="38"/>
      <c r="U252" s="38"/>
    </row>
    <row r="253" spans="20:21">
      <c r="T253" s="38"/>
      <c r="U253" s="38"/>
    </row>
    <row r="254" spans="20:21">
      <c r="T254" s="38"/>
      <c r="U254" s="38"/>
    </row>
    <row r="255" spans="20:21">
      <c r="T255" s="38"/>
      <c r="U255" s="38"/>
    </row>
    <row r="256" spans="20:21">
      <c r="T256" s="38"/>
      <c r="U256" s="38"/>
    </row>
    <row r="257" spans="20:21">
      <c r="T257" s="38"/>
      <c r="U257" s="38"/>
    </row>
    <row r="258" spans="20:21">
      <c r="T258" s="38"/>
      <c r="U258" s="38"/>
    </row>
    <row r="259" spans="20:21">
      <c r="T259" s="38"/>
      <c r="U259" s="38"/>
    </row>
    <row r="260" spans="20:21">
      <c r="T260" s="38"/>
      <c r="U260" s="38"/>
    </row>
    <row r="261" spans="20:21">
      <c r="T261" s="38"/>
      <c r="U261" s="38"/>
    </row>
    <row r="262" spans="20:21">
      <c r="T262" s="38"/>
      <c r="U262" s="38"/>
    </row>
    <row r="263" spans="20:21">
      <c r="T263" s="38"/>
      <c r="U263" s="38"/>
    </row>
    <row r="264" spans="20:21">
      <c r="T264" s="38"/>
      <c r="U264" s="38"/>
    </row>
    <row r="265" spans="20:21">
      <c r="T265" s="38"/>
      <c r="U265" s="38"/>
    </row>
    <row r="266" spans="20:21">
      <c r="T266" s="38"/>
      <c r="U266" s="38"/>
    </row>
    <row r="267" spans="20:21">
      <c r="T267" s="38"/>
      <c r="U267" s="38"/>
    </row>
    <row r="268" spans="20:21">
      <c r="T268" s="38"/>
      <c r="U268" s="38"/>
    </row>
    <row r="269" spans="20:21">
      <c r="T269" s="38"/>
      <c r="U269" s="38"/>
    </row>
    <row r="270" spans="20:21">
      <c r="T270" s="38"/>
      <c r="U270" s="38"/>
    </row>
    <row r="271" spans="20:21">
      <c r="T271" s="38"/>
      <c r="U271" s="38"/>
    </row>
    <row r="272" spans="20:21">
      <c r="T272" s="38"/>
      <c r="U272" s="38"/>
    </row>
    <row r="273" spans="20:21">
      <c r="T273" s="38"/>
      <c r="U273" s="38"/>
    </row>
    <row r="274" spans="20:21">
      <c r="T274" s="38"/>
      <c r="U274" s="38"/>
    </row>
    <row r="275" spans="20:21">
      <c r="T275" s="38"/>
      <c r="U275" s="38"/>
    </row>
    <row r="276" spans="20:21">
      <c r="T276" s="38"/>
      <c r="U276" s="38"/>
    </row>
    <row r="277" spans="20:21">
      <c r="T277" s="38"/>
      <c r="U277" s="38"/>
    </row>
    <row r="278" spans="20:21">
      <c r="T278" s="38"/>
      <c r="U278" s="38"/>
    </row>
    <row r="279" spans="20:21">
      <c r="T279" s="38"/>
      <c r="U279" s="38"/>
    </row>
    <row r="280" spans="20:21">
      <c r="T280" s="38"/>
      <c r="U280" s="38"/>
    </row>
    <row r="281" spans="20:21">
      <c r="T281" s="38"/>
      <c r="U281" s="38"/>
    </row>
    <row r="282" spans="20:21">
      <c r="T282" s="38"/>
      <c r="U282" s="38"/>
    </row>
    <row r="283" spans="20:21">
      <c r="T283" s="38"/>
      <c r="U283" s="38"/>
    </row>
    <row r="284" spans="20:21">
      <c r="T284" s="38"/>
      <c r="U284" s="38"/>
    </row>
    <row r="285" spans="20:21">
      <c r="T285" s="38"/>
      <c r="U285" s="38"/>
    </row>
    <row r="286" spans="20:21">
      <c r="T286" s="38"/>
      <c r="U286" s="38"/>
    </row>
    <row r="287" spans="20:21">
      <c r="T287" s="38"/>
      <c r="U287" s="38"/>
    </row>
    <row r="288" spans="20:21">
      <c r="T288" s="38"/>
      <c r="U288" s="38"/>
    </row>
    <row r="289" spans="20:21">
      <c r="T289" s="38"/>
      <c r="U289" s="38"/>
    </row>
    <row r="290" spans="20:21">
      <c r="T290" s="38"/>
      <c r="U290" s="38"/>
    </row>
    <row r="291" spans="20:21">
      <c r="T291" s="38"/>
      <c r="U291" s="38"/>
    </row>
    <row r="292" spans="20:21">
      <c r="T292" s="38"/>
      <c r="U292" s="38"/>
    </row>
    <row r="293" spans="20:21">
      <c r="T293" s="38"/>
      <c r="U293" s="38"/>
    </row>
    <row r="294" spans="20:21">
      <c r="T294" s="38"/>
      <c r="U294" s="38"/>
    </row>
    <row r="295" spans="20:21">
      <c r="T295" s="38"/>
      <c r="U295" s="38"/>
    </row>
    <row r="296" spans="20:21">
      <c r="T296" s="38"/>
      <c r="U296" s="38"/>
    </row>
    <row r="297" spans="20:21">
      <c r="T297" s="38"/>
      <c r="U297" s="38"/>
    </row>
    <row r="298" spans="20:21">
      <c r="T298" s="38"/>
      <c r="U298" s="38"/>
    </row>
    <row r="299" spans="20:21">
      <c r="T299" s="38"/>
      <c r="U299" s="38"/>
    </row>
    <row r="300" spans="20:21">
      <c r="T300" s="38"/>
      <c r="U300" s="38"/>
    </row>
    <row r="301" spans="20:21">
      <c r="T301" s="38"/>
      <c r="U301" s="38"/>
    </row>
    <row r="302" spans="20:21">
      <c r="T302" s="38"/>
      <c r="U302" s="38"/>
    </row>
    <row r="303" spans="20:21">
      <c r="T303" s="38"/>
      <c r="U303" s="38"/>
    </row>
    <row r="304" spans="20:21">
      <c r="T304" s="38"/>
      <c r="U304" s="38"/>
    </row>
    <row r="305" spans="20:21">
      <c r="T305" s="38"/>
      <c r="U305" s="38"/>
    </row>
    <row r="306" spans="20:21">
      <c r="T306" s="38"/>
      <c r="U306" s="38"/>
    </row>
    <row r="307" spans="20:21">
      <c r="T307" s="38"/>
      <c r="U307" s="38"/>
    </row>
    <row r="308" spans="20:21">
      <c r="T308" s="38"/>
      <c r="U308" s="38"/>
    </row>
    <row r="309" spans="20:21">
      <c r="T309" s="38"/>
      <c r="U309" s="38"/>
    </row>
    <row r="310" spans="20:21">
      <c r="T310" s="38"/>
      <c r="U310" s="38"/>
    </row>
    <row r="311" spans="20:21">
      <c r="T311" s="38"/>
      <c r="U311" s="38"/>
    </row>
    <row r="312" spans="20:21">
      <c r="T312" s="38"/>
      <c r="U312" s="38"/>
    </row>
    <row r="313" spans="20:21">
      <c r="T313" s="38"/>
      <c r="U313" s="38"/>
    </row>
    <row r="314" spans="20:21">
      <c r="T314" s="38"/>
      <c r="U314" s="38"/>
    </row>
    <row r="315" spans="20:21">
      <c r="T315" s="38"/>
      <c r="U315" s="38"/>
    </row>
    <row r="316" spans="20:21">
      <c r="T316" s="38"/>
      <c r="U316" s="38"/>
    </row>
    <row r="317" spans="20:21">
      <c r="T317" s="38"/>
      <c r="U317" s="38"/>
    </row>
    <row r="318" spans="20:21">
      <c r="T318" s="38"/>
      <c r="U318" s="38"/>
    </row>
    <row r="319" spans="20:21">
      <c r="T319" s="38"/>
      <c r="U319" s="38"/>
    </row>
    <row r="320" spans="20:21">
      <c r="T320" s="38"/>
      <c r="U320" s="38"/>
    </row>
    <row r="321" spans="20:21">
      <c r="T321" s="38"/>
      <c r="U321" s="38"/>
    </row>
    <row r="322" spans="20:21">
      <c r="T322" s="38"/>
      <c r="U322" s="38"/>
    </row>
    <row r="323" spans="20:21">
      <c r="T323" s="38"/>
      <c r="U323" s="38"/>
    </row>
    <row r="324" spans="20:21">
      <c r="T324" s="38"/>
      <c r="U324" s="38"/>
    </row>
    <row r="325" spans="20:21">
      <c r="T325" s="38"/>
      <c r="U325" s="38"/>
    </row>
    <row r="326" spans="20:21">
      <c r="T326" s="38"/>
      <c r="U326" s="38"/>
    </row>
    <row r="327" spans="20:21">
      <c r="T327" s="38"/>
      <c r="U327" s="38"/>
    </row>
    <row r="328" spans="20:21">
      <c r="T328" s="38"/>
      <c r="U328" s="38"/>
    </row>
    <row r="329" spans="20:21">
      <c r="T329" s="38"/>
      <c r="U329" s="38"/>
    </row>
    <row r="330" spans="20:21">
      <c r="T330" s="38"/>
      <c r="U330" s="38"/>
    </row>
    <row r="331" spans="20:21">
      <c r="T331" s="38"/>
      <c r="U331" s="38"/>
    </row>
    <row r="332" spans="20:21">
      <c r="T332" s="38"/>
      <c r="U332" s="38"/>
    </row>
    <row r="333" spans="20:21">
      <c r="T333" s="38"/>
      <c r="U333" s="38"/>
    </row>
    <row r="334" spans="20:21">
      <c r="T334" s="38"/>
      <c r="U334" s="38"/>
    </row>
    <row r="335" spans="20:21">
      <c r="T335" s="38"/>
      <c r="U335" s="38"/>
    </row>
    <row r="336" spans="20:21">
      <c r="T336" s="38"/>
      <c r="U336" s="38"/>
    </row>
    <row r="337" spans="20:21">
      <c r="T337" s="38"/>
      <c r="U337" s="38"/>
    </row>
    <row r="338" spans="20:21">
      <c r="T338" s="38"/>
      <c r="U338" s="38"/>
    </row>
    <row r="339" spans="20:21">
      <c r="T339" s="38"/>
      <c r="U339" s="38"/>
    </row>
    <row r="340" spans="20:21">
      <c r="T340" s="38"/>
      <c r="U340" s="38"/>
    </row>
    <row r="341" spans="20:21">
      <c r="T341" s="38"/>
      <c r="U341" s="38"/>
    </row>
    <row r="342" spans="20:21">
      <c r="T342" s="38"/>
      <c r="U342" s="38"/>
    </row>
    <row r="343" spans="20:21">
      <c r="T343" s="38"/>
      <c r="U343" s="38"/>
    </row>
    <row r="344" spans="20:21">
      <c r="T344" s="38"/>
      <c r="U344" s="38"/>
    </row>
    <row r="345" spans="20:21">
      <c r="T345" s="38"/>
      <c r="U345" s="38"/>
    </row>
    <row r="346" spans="20:21">
      <c r="T346" s="38"/>
      <c r="U346" s="38"/>
    </row>
  </sheetData>
  <sheetProtection password="E471" sheet="1" objects="1" scenarios="1"/>
  <mergeCells count="4">
    <mergeCell ref="C16:D16"/>
    <mergeCell ref="C17:D17"/>
    <mergeCell ref="C34:D34"/>
    <mergeCell ref="C35:D35"/>
  </mergeCells>
  <conditionalFormatting sqref="F1">
    <cfRule type="expression" dxfId="16" priority="39">
      <formula>$E$1&gt;"A"</formula>
    </cfRule>
  </conditionalFormatting>
  <conditionalFormatting sqref="D2">
    <cfRule type="expression" dxfId="15" priority="37">
      <formula>$C$2&gt;"A"</formula>
    </cfRule>
  </conditionalFormatting>
  <conditionalFormatting sqref="B4">
    <cfRule type="expression" dxfId="14" priority="36">
      <formula>$A$4&gt;"A"</formula>
    </cfRule>
  </conditionalFormatting>
  <conditionalFormatting sqref="F4">
    <cfRule type="expression" dxfId="13" priority="35">
      <formula>$F$4="unsinn(Text ohne vorab GELB)"</formula>
    </cfRule>
  </conditionalFormatting>
  <conditionalFormatting sqref="G4">
    <cfRule type="expression" dxfId="12" priority="34">
      <formula>$F$4&lt;&gt;""</formula>
    </cfRule>
  </conditionalFormatting>
  <conditionalFormatting sqref="B24:C24 B42:C42 B56:C56">
    <cfRule type="cellIs" dxfId="11" priority="33" stopIfTrue="1" operator="equal">
      <formula>"Reihenfolge"</formula>
    </cfRule>
  </conditionalFormatting>
  <conditionalFormatting sqref="F22:F23 F40:F41 F54:F55">
    <cfRule type="cellIs" dxfId="10" priority="29" stopIfTrue="1" operator="equal">
      <formula>"Falsch"</formula>
    </cfRule>
    <cfRule type="cellIs" dxfId="9" priority="30" stopIfTrue="1" operator="equal">
      <formula>"OK"</formula>
    </cfRule>
  </conditionalFormatting>
  <conditionalFormatting sqref="F22 F40 F54">
    <cfRule type="cellIs" dxfId="8" priority="27" stopIfTrue="1" operator="equal">
      <formula>"Konten Falsch"</formula>
    </cfRule>
    <cfRule type="cellIs" dxfId="7" priority="28" stopIfTrue="1" operator="equal">
      <formula>"Konten OK"</formula>
    </cfRule>
  </conditionalFormatting>
  <conditionalFormatting sqref="F23 F41 F55">
    <cfRule type="cellIs" dxfId="6" priority="21" stopIfTrue="1" operator="equal">
      <formula>"Beträge Falsch"</formula>
    </cfRule>
    <cfRule type="cellIs" dxfId="5" priority="22" stopIfTrue="1" operator="equal">
      <formula>"Beträge OK"</formula>
    </cfRule>
    <cfRule type="cellIs" dxfId="4" priority="23" stopIfTrue="1" operator="equal">
      <formula>"Konten Falsch"</formula>
    </cfRule>
    <cfRule type="cellIs" dxfId="3" priority="24" stopIfTrue="1" operator="equal">
      <formula>"Konten OK"</formula>
    </cfRule>
  </conditionalFormatting>
  <conditionalFormatting sqref="B5">
    <cfRule type="expression" dxfId="2" priority="11">
      <formula>$A$5&gt;"A"</formula>
    </cfRule>
  </conditionalFormatting>
  <conditionalFormatting sqref="G40:H40">
    <cfRule type="expression" dxfId="1" priority="2">
      <formula>$G$40&gt;"1"</formula>
    </cfRule>
  </conditionalFormatting>
  <conditionalFormatting sqref="C58">
    <cfRule type="expression" dxfId="0" priority="1">
      <formula>$A$58&gt;="A"</formula>
    </cfRule>
  </conditionalFormatting>
  <dataValidations count="5">
    <dataValidation type="list" allowBlank="1" showInputMessage="1" showErrorMessage="1" sqref="B4">
      <formula1>GS</formula1>
    </dataValidation>
    <dataValidation type="list" allowBlank="1" showInputMessage="1" showErrorMessage="1" sqref="B5">
      <formula1>zahl</formula1>
    </dataValidation>
    <dataValidation type="list" showInputMessage="1" showErrorMessage="1" sqref="F1">
      <formula1>fuer</formula1>
    </dataValidation>
    <dataValidation type="list" showInputMessage="1" showErrorMessage="1" sqref="B1">
      <formula1>RG</formula1>
    </dataValidation>
    <dataValidation type="list" allowBlank="1" showInputMessage="1" showErrorMessage="1" sqref="D2">
      <formula1>varianten</formula1>
    </dataValidation>
  </dataValidations>
  <printOptions headings="1" gridLines="1"/>
  <pageMargins left="0.70866141732283472" right="0.51181102362204722" top="0.59055118110236227" bottom="0.59055118110236227" header="0.31496062992125984" footer="0.31496062992125984"/>
  <pageSetup paperSize="9" scale="73" orientation="portrait" r:id="rId1"/>
  <headerFooter>
    <oddFooter>&amp;RJW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9"/>
  <sheetViews>
    <sheetView zoomScale="140" zoomScaleNormal="140" workbookViewId="0">
      <selection activeCell="A2" sqref="A2"/>
    </sheetView>
  </sheetViews>
  <sheetFormatPr baseColWidth="10" defaultRowHeight="15"/>
  <cols>
    <col min="2" max="2" width="18" customWidth="1"/>
    <col min="4" max="4" width="19.28515625" customWidth="1"/>
    <col min="6" max="6" width="17.140625" customWidth="1"/>
    <col min="8" max="8" width="20.42578125" customWidth="1"/>
  </cols>
  <sheetData>
    <row r="2" spans="1:8" ht="15.75" thickBot="1"/>
    <row r="3" spans="1:8" ht="15.75" thickTop="1">
      <c r="A3" s="47">
        <v>21</v>
      </c>
      <c r="B3" s="48" t="s">
        <v>75</v>
      </c>
      <c r="C3" s="49">
        <v>31</v>
      </c>
      <c r="D3" s="50" t="s">
        <v>76</v>
      </c>
      <c r="E3" s="51">
        <v>33</v>
      </c>
      <c r="F3" s="52" t="s">
        <v>77</v>
      </c>
      <c r="G3" s="53">
        <v>34</v>
      </c>
      <c r="H3" s="54" t="s">
        <v>78</v>
      </c>
    </row>
    <row r="4" spans="1:8" ht="15" customHeight="1">
      <c r="A4" s="55">
        <v>370</v>
      </c>
      <c r="B4" s="56" t="s">
        <v>79</v>
      </c>
      <c r="C4" s="55">
        <v>60</v>
      </c>
      <c r="D4" s="57" t="s">
        <v>80</v>
      </c>
      <c r="E4" s="58">
        <v>82</v>
      </c>
      <c r="F4" s="59" t="s">
        <v>81</v>
      </c>
      <c r="G4" s="60">
        <v>101</v>
      </c>
      <c r="H4" s="61" t="s">
        <v>82</v>
      </c>
    </row>
    <row r="5" spans="1:8" ht="15" customHeight="1">
      <c r="A5" s="55">
        <v>113</v>
      </c>
      <c r="B5" s="56" t="s">
        <v>83</v>
      </c>
      <c r="C5" s="55">
        <v>117</v>
      </c>
      <c r="D5" s="57" t="s">
        <v>84</v>
      </c>
      <c r="E5" s="58">
        <v>131</v>
      </c>
      <c r="F5" s="59" t="s">
        <v>85</v>
      </c>
      <c r="G5" s="60">
        <v>141</v>
      </c>
      <c r="H5" s="61" t="s">
        <v>86</v>
      </c>
    </row>
    <row r="6" spans="1:8" ht="15" customHeight="1">
      <c r="A6" s="55">
        <v>143</v>
      </c>
      <c r="B6" s="56" t="s">
        <v>87</v>
      </c>
      <c r="C6" s="55">
        <v>144</v>
      </c>
      <c r="D6" s="57" t="s">
        <v>88</v>
      </c>
      <c r="E6" s="58">
        <v>151</v>
      </c>
      <c r="F6" s="59" t="s">
        <v>89</v>
      </c>
      <c r="G6" s="60">
        <v>161</v>
      </c>
      <c r="H6" s="61" t="s">
        <v>90</v>
      </c>
    </row>
    <row r="7" spans="1:8" ht="15" customHeight="1">
      <c r="A7" s="55">
        <v>162</v>
      </c>
      <c r="B7" s="56" t="s">
        <v>91</v>
      </c>
      <c r="C7" s="55">
        <v>171</v>
      </c>
      <c r="D7" s="57" t="s">
        <v>92</v>
      </c>
      <c r="E7" s="58">
        <v>181</v>
      </c>
      <c r="F7" s="59" t="s">
        <v>93</v>
      </c>
      <c r="G7" s="60">
        <v>184</v>
      </c>
      <c r="H7" s="61" t="s">
        <v>94</v>
      </c>
    </row>
    <row r="8" spans="1:8" ht="15" customHeight="1">
      <c r="A8" s="55">
        <v>191</v>
      </c>
      <c r="B8" s="56" t="s">
        <v>95</v>
      </c>
      <c r="C8" s="55">
        <v>192</v>
      </c>
      <c r="D8" s="57" t="s">
        <v>96</v>
      </c>
      <c r="E8" s="58">
        <v>194</v>
      </c>
      <c r="F8" s="59" t="s">
        <v>97</v>
      </c>
      <c r="G8" s="60">
        <v>195</v>
      </c>
      <c r="H8" s="61" t="s">
        <v>98</v>
      </c>
    </row>
    <row r="9" spans="1:8" ht="15" customHeight="1">
      <c r="A9" s="55">
        <v>210</v>
      </c>
      <c r="B9" s="56" t="s">
        <v>99</v>
      </c>
      <c r="C9" s="55">
        <v>242</v>
      </c>
      <c r="D9" s="57" t="s">
        <v>100</v>
      </c>
      <c r="E9" s="58">
        <v>260</v>
      </c>
      <c r="F9" s="59" t="s">
        <v>101</v>
      </c>
      <c r="G9" s="60">
        <v>301</v>
      </c>
      <c r="H9" s="61" t="s">
        <v>102</v>
      </c>
    </row>
    <row r="10" spans="1:8" ht="15" customHeight="1">
      <c r="A10" s="55">
        <v>302</v>
      </c>
      <c r="B10" s="56" t="s">
        <v>103</v>
      </c>
      <c r="C10" s="55">
        <v>305</v>
      </c>
      <c r="D10" s="57" t="s">
        <v>104</v>
      </c>
      <c r="E10" s="58">
        <v>306</v>
      </c>
      <c r="F10" s="59" t="s">
        <v>105</v>
      </c>
      <c r="G10" s="60">
        <v>307</v>
      </c>
      <c r="H10" s="61" t="s">
        <v>106</v>
      </c>
    </row>
    <row r="11" spans="1:8" ht="15" customHeight="1">
      <c r="A11" s="55">
        <v>308</v>
      </c>
      <c r="B11" s="56" t="s">
        <v>107</v>
      </c>
      <c r="C11" s="55">
        <v>391</v>
      </c>
      <c r="D11" s="57" t="s">
        <v>138</v>
      </c>
      <c r="E11" s="58">
        <v>401</v>
      </c>
      <c r="F11" s="59" t="s">
        <v>108</v>
      </c>
      <c r="G11" s="60">
        <v>402</v>
      </c>
      <c r="H11" s="61" t="s">
        <v>109</v>
      </c>
    </row>
    <row r="12" spans="1:8" ht="15" customHeight="1">
      <c r="A12" s="55">
        <v>404</v>
      </c>
      <c r="B12" s="56" t="s">
        <v>110</v>
      </c>
      <c r="C12" s="55">
        <v>407</v>
      </c>
      <c r="D12" s="57" t="s">
        <v>111</v>
      </c>
      <c r="E12" s="58">
        <v>410</v>
      </c>
      <c r="F12" s="59" t="s">
        <v>112</v>
      </c>
      <c r="G12" s="60">
        <v>422</v>
      </c>
      <c r="H12" s="61" t="s">
        <v>113</v>
      </c>
    </row>
    <row r="13" spans="1:8" ht="15" customHeight="1">
      <c r="A13" s="55">
        <v>426</v>
      </c>
      <c r="B13" s="56" t="s">
        <v>114</v>
      </c>
      <c r="C13" s="55">
        <v>430</v>
      </c>
      <c r="D13" s="57" t="s">
        <v>115</v>
      </c>
      <c r="E13" s="58">
        <v>440</v>
      </c>
      <c r="F13" s="59" t="s">
        <v>116</v>
      </c>
      <c r="G13" s="60">
        <v>450</v>
      </c>
      <c r="H13" s="61" t="s">
        <v>117</v>
      </c>
    </row>
    <row r="14" spans="1:8" ht="15" customHeight="1">
      <c r="A14" s="55">
        <v>461</v>
      </c>
      <c r="B14" s="56" t="s">
        <v>118</v>
      </c>
      <c r="C14" s="55">
        <v>462</v>
      </c>
      <c r="D14" s="57" t="s">
        <v>119</v>
      </c>
      <c r="E14" s="58">
        <v>463</v>
      </c>
      <c r="F14" s="59" t="s">
        <v>120</v>
      </c>
      <c r="G14" s="60">
        <v>471</v>
      </c>
      <c r="H14" s="61" t="s">
        <v>121</v>
      </c>
    </row>
    <row r="15" spans="1:8" ht="15" customHeight="1">
      <c r="A15" s="55">
        <v>481</v>
      </c>
      <c r="B15" s="56" t="s">
        <v>122</v>
      </c>
      <c r="C15" s="55">
        <v>482</v>
      </c>
      <c r="D15" s="57" t="s">
        <v>123</v>
      </c>
      <c r="E15" s="58">
        <v>486</v>
      </c>
      <c r="F15" s="59" t="s">
        <v>124</v>
      </c>
      <c r="G15" s="60">
        <v>491</v>
      </c>
      <c r="H15" s="61" t="s">
        <v>125</v>
      </c>
    </row>
    <row r="16" spans="1:8" ht="15" customHeight="1">
      <c r="A16" s="55">
        <v>801</v>
      </c>
      <c r="B16" s="56" t="s">
        <v>126</v>
      </c>
      <c r="C16" s="55">
        <v>805</v>
      </c>
      <c r="D16" s="57" t="s">
        <v>127</v>
      </c>
      <c r="E16" s="58">
        <v>806</v>
      </c>
      <c r="F16" s="59" t="s">
        <v>128</v>
      </c>
      <c r="G16" s="60">
        <v>807</v>
      </c>
      <c r="H16" s="61" t="s">
        <v>129</v>
      </c>
    </row>
    <row r="17" spans="1:8" ht="15" customHeight="1">
      <c r="A17" s="55">
        <v>808</v>
      </c>
      <c r="B17" s="56" t="s">
        <v>130</v>
      </c>
      <c r="C17" s="55">
        <v>881</v>
      </c>
      <c r="D17" s="57" t="s">
        <v>131</v>
      </c>
      <c r="E17" s="58">
        <v>882</v>
      </c>
      <c r="F17" s="59" t="s">
        <v>132</v>
      </c>
      <c r="G17" s="60">
        <v>871</v>
      </c>
      <c r="H17" s="61" t="s">
        <v>133</v>
      </c>
    </row>
    <row r="18" spans="1:8" ht="15.75" thickBot="1">
      <c r="A18" s="62">
        <v>872</v>
      </c>
      <c r="B18" s="63" t="s">
        <v>134</v>
      </c>
      <c r="C18" s="64">
        <v>910</v>
      </c>
      <c r="D18" s="65" t="s">
        <v>135</v>
      </c>
      <c r="E18" s="66">
        <v>930</v>
      </c>
      <c r="F18" s="67" t="s">
        <v>136</v>
      </c>
      <c r="G18" s="68">
        <v>940</v>
      </c>
      <c r="H18" s="69" t="s">
        <v>137</v>
      </c>
    </row>
    <row r="19" spans="1:8" ht="15.75" thickTop="1"/>
  </sheetData>
  <sheetProtection password="CC0A" sheet="1" objects="1" scenario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7</vt:i4>
      </vt:variant>
    </vt:vector>
  </HeadingPairs>
  <TitlesOfParts>
    <vt:vector size="9" baseType="lpstr">
      <vt:lpstr>Belege</vt:lpstr>
      <vt:lpstr>Kontenrahmen</vt:lpstr>
      <vt:lpstr>Belege!Druckbereich</vt:lpstr>
      <vt:lpstr>fuer</vt:lpstr>
      <vt:lpstr>GS</vt:lpstr>
      <vt:lpstr>neben</vt:lpstr>
      <vt:lpstr>RG</vt:lpstr>
      <vt:lpstr>varianten</vt:lpstr>
      <vt:lpstr>zahl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2014-01-27T16:28:19Z</cp:lastPrinted>
  <dcterms:created xsi:type="dcterms:W3CDTF">2013-05-25T08:49:16Z</dcterms:created>
  <dcterms:modified xsi:type="dcterms:W3CDTF">2021-06-03T15:09:20Z</dcterms:modified>
</cp:coreProperties>
</file>